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000" activeTab="0"/>
  </bookViews>
  <sheets>
    <sheet name="P&amp;L" sheetId="1" r:id="rId1"/>
    <sheet name="BALANCE SHEET" sheetId="2" r:id="rId2"/>
    <sheet name="CASH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<sst xmlns="http://schemas.openxmlformats.org/spreadsheetml/2006/main" count="243" uniqueCount="171">
  <si>
    <t>MALAYSIA BUILDING SOCIETY BERHAD</t>
  </si>
  <si>
    <t>(Company No. 9417-K)</t>
  </si>
  <si>
    <t>(Incorporated in Malaysia)</t>
  </si>
  <si>
    <t>RM'000</t>
  </si>
  <si>
    <t>ASSETS EMPLOYED</t>
  </si>
  <si>
    <t>Property, plant and equipment</t>
  </si>
  <si>
    <t xml:space="preserve">Properties held for development  </t>
  </si>
  <si>
    <t xml:space="preserve">-  </t>
  </si>
  <si>
    <t>Other investments</t>
  </si>
  <si>
    <t xml:space="preserve">Goodwill on consolidation </t>
  </si>
  <si>
    <t>Mortgage loans receivable</t>
  </si>
  <si>
    <t xml:space="preserve">    after 12 months</t>
  </si>
  <si>
    <t>Current Assets</t>
  </si>
  <si>
    <t xml:space="preserve"> </t>
  </si>
  <si>
    <t>Development properties</t>
  </si>
  <si>
    <t xml:space="preserve">Inventories of completed </t>
  </si>
  <si>
    <t xml:space="preserve">   properties</t>
  </si>
  <si>
    <t xml:space="preserve">   within 12 months</t>
  </si>
  <si>
    <t>Trade receivables</t>
  </si>
  <si>
    <t>Other receivables</t>
  </si>
  <si>
    <t>Cash and short term funds</t>
  </si>
  <si>
    <t>Less :  Current Liabilities</t>
  </si>
  <si>
    <t>Bank borrowings</t>
  </si>
  <si>
    <t>Deposits maturing within</t>
  </si>
  <si>
    <t xml:space="preserve">   12 months</t>
  </si>
  <si>
    <t xml:space="preserve">Debenture loans </t>
  </si>
  <si>
    <t>EPF revolving loans</t>
  </si>
  <si>
    <t xml:space="preserve">Bank Negara Malaysia loans </t>
  </si>
  <si>
    <t>Special housing loan</t>
  </si>
  <si>
    <t>Trade payables</t>
  </si>
  <si>
    <t>Other payables</t>
  </si>
  <si>
    <t>Taxation</t>
  </si>
  <si>
    <t>Net Current Liabilities</t>
  </si>
  <si>
    <t>FINANCED BY</t>
  </si>
  <si>
    <t>Share capital</t>
  </si>
  <si>
    <t xml:space="preserve">Reserves </t>
  </si>
  <si>
    <t>Shareholders' equity</t>
  </si>
  <si>
    <t>Minority interest</t>
  </si>
  <si>
    <t xml:space="preserve">Special housing loan </t>
  </si>
  <si>
    <t>Loans sold to Cagamas</t>
  </si>
  <si>
    <t>Deposits maturing after 12 months</t>
  </si>
  <si>
    <t xml:space="preserve">Deferred taxation </t>
  </si>
  <si>
    <t>Provision for staff retirement benefits</t>
  </si>
  <si>
    <t xml:space="preserve">Non-current liabilities </t>
  </si>
  <si>
    <t xml:space="preserve">Revenue </t>
  </si>
  <si>
    <t xml:space="preserve">Other operating income </t>
  </si>
  <si>
    <t>Interest costs</t>
  </si>
  <si>
    <t xml:space="preserve">Loan loss and provision </t>
  </si>
  <si>
    <t>Provision for anticipated losses</t>
  </si>
  <si>
    <t xml:space="preserve">   on projects</t>
  </si>
  <si>
    <t>Changes in development</t>
  </si>
  <si>
    <t xml:space="preserve">  properties and inventories</t>
  </si>
  <si>
    <t xml:space="preserve">  of completed properties</t>
  </si>
  <si>
    <t>Contract costs</t>
  </si>
  <si>
    <t xml:space="preserve">Staff costs </t>
  </si>
  <si>
    <t xml:space="preserve">Depreciation </t>
  </si>
  <si>
    <t xml:space="preserve">Other operating expenses </t>
  </si>
  <si>
    <t xml:space="preserve">Taxation </t>
  </si>
  <si>
    <t xml:space="preserve">  Basic</t>
  </si>
  <si>
    <t>Cash flows from operating activities</t>
  </si>
  <si>
    <t>Adjustments for :</t>
  </si>
  <si>
    <t>Provision for anticipated losses on projects</t>
  </si>
  <si>
    <t>Provision for doubtful debts of trade receivables</t>
  </si>
  <si>
    <t>Provision for doubtful debts of other receivables</t>
  </si>
  <si>
    <t>Loan loss and provision</t>
  </si>
  <si>
    <t>Gain on disposal of property, plant and equipment</t>
  </si>
  <si>
    <t>Impairment loss of property, plant and equipment</t>
  </si>
  <si>
    <t>Interest-in-suspense, net of recoveries and write offs</t>
  </si>
  <si>
    <t xml:space="preserve">Operating profit before working capital changes </t>
  </si>
  <si>
    <t>Increase in mortgage loans receivable</t>
  </si>
  <si>
    <t>properties</t>
  </si>
  <si>
    <t>Taxes paid</t>
  </si>
  <si>
    <t>Cash flows from investing activities</t>
  </si>
  <si>
    <t>Properties held for development</t>
  </si>
  <si>
    <t xml:space="preserve">Proceeds from disposal of property, plant and </t>
  </si>
  <si>
    <t xml:space="preserve">   equipment</t>
  </si>
  <si>
    <t>Net cash used in investing activities</t>
  </si>
  <si>
    <t>Cash flows from financing activities</t>
  </si>
  <si>
    <t>Debenture loans</t>
  </si>
  <si>
    <t>Bank Negara Malaysia loans repaid</t>
  </si>
  <si>
    <t>Payment of retirement benefits</t>
  </si>
  <si>
    <t xml:space="preserve">Cash and cash equivalents at 1st January </t>
  </si>
  <si>
    <t xml:space="preserve">Cash and cash equivalents comprise </t>
  </si>
  <si>
    <t xml:space="preserve">       Cash and bank balances </t>
  </si>
  <si>
    <t xml:space="preserve">       As previously reported </t>
  </si>
  <si>
    <t xml:space="preserve">       As restated </t>
  </si>
  <si>
    <t xml:space="preserve">Acquisition of Subsidiaries </t>
  </si>
  <si>
    <t xml:space="preserve">       Cash </t>
  </si>
  <si>
    <t xml:space="preserve">       Deposits and placements with financial institutions </t>
  </si>
  <si>
    <t xml:space="preserve">       Investment securities </t>
  </si>
  <si>
    <t xml:space="preserve">       Loans and advances </t>
  </si>
  <si>
    <t xml:space="preserve">       Other assets </t>
  </si>
  <si>
    <t xml:space="preserve">       Fixed assets </t>
  </si>
  <si>
    <t xml:space="preserve">       Other liabilities </t>
  </si>
  <si>
    <t xml:space="preserve">       Minotory interest </t>
  </si>
  <si>
    <t xml:space="preserve">       Net assets acquired </t>
  </si>
  <si>
    <t xml:space="preserve">       Goodwill on acquisition </t>
  </si>
  <si>
    <t xml:space="preserve">       Purchases consideration </t>
  </si>
  <si>
    <t xml:space="preserve">       Less: Cash acquired </t>
  </si>
  <si>
    <t xml:space="preserve">       Net cash used in acquisition  </t>
  </si>
  <si>
    <t xml:space="preserve">Cash and cash equivalents comprise : </t>
  </si>
  <si>
    <t xml:space="preserve">    Cash and short term funds</t>
  </si>
  <si>
    <t>Non Distributable</t>
  </si>
  <si>
    <t xml:space="preserve">Capital Redemption Reserve - </t>
  </si>
  <si>
    <t xml:space="preserve">Redeemable Cumulative Preference </t>
  </si>
  <si>
    <t xml:space="preserve">Share </t>
  </si>
  <si>
    <t xml:space="preserve">Capital </t>
  </si>
  <si>
    <t xml:space="preserve">Shares </t>
  </si>
  <si>
    <t xml:space="preserve">Accumulated </t>
  </si>
  <si>
    <t xml:space="preserve">Premium </t>
  </si>
  <si>
    <t xml:space="preserve">Reserve </t>
  </si>
  <si>
    <t>'A'</t>
  </si>
  <si>
    <t>'B'</t>
  </si>
  <si>
    <t>'C'</t>
  </si>
  <si>
    <t xml:space="preserve">Losses </t>
  </si>
  <si>
    <t>Total</t>
  </si>
  <si>
    <t xml:space="preserve">The figures have not been audited. </t>
  </si>
  <si>
    <t xml:space="preserve">3 months ended </t>
  </si>
  <si>
    <t>As at</t>
  </si>
  <si>
    <t>(RM'000)</t>
  </si>
  <si>
    <t xml:space="preserve">   Acquisition of a subsidiary </t>
  </si>
  <si>
    <t xml:space="preserve">   Special housing loan</t>
  </si>
  <si>
    <t>Purchase of property, plant and equipment</t>
  </si>
  <si>
    <t>At 1.1.2002</t>
  </si>
  <si>
    <t>CONDENSED CONSOLIDATED INCOME STATEMENT</t>
  </si>
  <si>
    <t>CONDENSED CONSOLIDATED BALANCE SHEETS</t>
  </si>
  <si>
    <t xml:space="preserve">CONDENSED CONSOLIDATED STATEMENT OF CHANGES IN EQUITY </t>
  </si>
  <si>
    <t>Net increase in cash and cash equivalents</t>
  </si>
  <si>
    <t>31st December 2001</t>
  </si>
  <si>
    <t>Increase in bank borrowings</t>
  </si>
  <si>
    <t xml:space="preserve">Decrease in deposits received </t>
  </si>
  <si>
    <t>CONDENSED CONSOLIDATED CASH FLOW STATEMENT</t>
  </si>
  <si>
    <t xml:space="preserve">Loss before taxation </t>
  </si>
  <si>
    <t xml:space="preserve">Loss after taxation </t>
  </si>
  <si>
    <t>Loss per share (sen)</t>
  </si>
  <si>
    <t>Loss before taxation</t>
  </si>
  <si>
    <t xml:space="preserve">The condensed Consolidated Income Statement should be read in conjunction with the </t>
  </si>
  <si>
    <t>audited financial statements for the year ended 31st December 2001.</t>
  </si>
  <si>
    <t xml:space="preserve">The condensed Consolidated Balance Sheet should be read in conjunction with </t>
  </si>
  <si>
    <t>the audited financial statements for the year ended 31st December 2001.</t>
  </si>
  <si>
    <t>The condensed Consolidated Cash Flow Statement should be read in conjunction</t>
  </si>
  <si>
    <t>with the audited financial statements for the year ended 31st December 2001.</t>
  </si>
  <si>
    <t>Provision for anticipated losses on projects written back</t>
  </si>
  <si>
    <t xml:space="preserve">Impairment loss of property,  </t>
  </si>
  <si>
    <t xml:space="preserve">   plant and equipment</t>
  </si>
  <si>
    <t>Net loss for the period</t>
  </si>
  <si>
    <t>31st December</t>
  </si>
  <si>
    <t>12 months ended</t>
  </si>
  <si>
    <t>31st December 2002</t>
  </si>
  <si>
    <t>12 MONTHS ENDED 31ST DECEMBER 2002</t>
  </si>
  <si>
    <t>At 31.12.2002</t>
  </si>
  <si>
    <t xml:space="preserve">Quarterly report on consolidated financial statements for the fourth quarter ended 31st December 2002. </t>
  </si>
  <si>
    <t>Net loss for twelve months period</t>
  </si>
  <si>
    <t>Cash and cash equivalents at 31st December</t>
  </si>
  <si>
    <t>2001</t>
  </si>
  <si>
    <t>Property, plant and equipment written off</t>
  </si>
  <si>
    <t>Goodwill written off</t>
  </si>
  <si>
    <t xml:space="preserve">Decrease/(increase) in inventories of completed </t>
  </si>
  <si>
    <t xml:space="preserve">Net cash (used in)/generated from financing activities </t>
  </si>
  <si>
    <t>At 1.1.2001</t>
  </si>
  <si>
    <t>At 31.12.2001</t>
  </si>
  <si>
    <t>Net cash generated from/(used in) operating activities</t>
  </si>
  <si>
    <t>Cash generated from/(used in) operations</t>
  </si>
  <si>
    <t>Inventories of completed properties written down</t>
  </si>
  <si>
    <t>statements for the year ended 31st December 2001.</t>
  </si>
  <si>
    <t>The condensed Consolidated Statement of Changes In Equity should be read in conjunction with the audited financial</t>
  </si>
  <si>
    <t xml:space="preserve">Increase in payables </t>
  </si>
  <si>
    <t>(Increase)/decrease in development properties</t>
  </si>
  <si>
    <t xml:space="preserve"> development</t>
  </si>
  <si>
    <t>Provision for diminution in value of properties held for</t>
  </si>
  <si>
    <t>(Increase)/decrease in receivables</t>
  </si>
</sst>
</file>

<file path=xl/styles.xml><?xml version="1.0" encoding="utf-8"?>
<styleSheet xmlns="http://schemas.openxmlformats.org/spreadsheetml/2006/main">
  <numFmts count="4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_);[Red]\(#,##0.0\)"/>
    <numFmt numFmtId="179" formatCode="#,##0.000_);[Red]\(#,##0.000\)"/>
    <numFmt numFmtId="180" formatCode="#,##0.0000_);[Red]\(#,##0.0000\)"/>
    <numFmt numFmtId="181" formatCode="0.00_);[Red]\(0.00\)"/>
    <numFmt numFmtId="182" formatCode="0_);\(0\)"/>
    <numFmt numFmtId="183" formatCode="#,##0.0_);\(#,##0.0\)"/>
    <numFmt numFmtId="184" formatCode="_(* #,##0.0_);_(* \(#,##0.0\);_(* &quot;-&quot;??_);_(@_)"/>
    <numFmt numFmtId="185" formatCode="_(* #,##0_);_(* \(#,##0\);_(* &quot;-&quot;??_);_(@_)"/>
    <numFmt numFmtId="186" formatCode="#,##0;\(#,##0\)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0000"/>
    <numFmt numFmtId="194" formatCode="0.000000000"/>
    <numFmt numFmtId="195" formatCode="0.0000000000"/>
    <numFmt numFmtId="196" formatCode="0.00000000000"/>
    <numFmt numFmtId="197" formatCode="0.0"/>
    <numFmt numFmtId="198" formatCode="_(* #,##0.000_);_(* \(#,##0.000\);_(* &quot;-&quot;??_);_(@_)"/>
    <numFmt numFmtId="199" formatCode="_(* #,##0.0000_);_(* \(#,##0.0000\);_(* &quot;-&quot;??_);_(@_)"/>
  </numFmts>
  <fonts count="7">
    <font>
      <sz val="10"/>
      <name val="Arial"/>
      <family val="0"/>
    </font>
    <font>
      <sz val="10"/>
      <name val="MS Sans Serif"/>
      <family val="0"/>
    </font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37" fontId="2" fillId="0" borderId="0" xfId="15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center"/>
    </xf>
    <xf numFmtId="0" fontId="2" fillId="0" borderId="0" xfId="0" applyFont="1" applyFill="1" applyAlignment="1">
      <alignment/>
    </xf>
    <xf numFmtId="37" fontId="2" fillId="0" borderId="1" xfId="15" applyNumberFormat="1" applyFont="1" applyFill="1" applyBorder="1" applyAlignment="1">
      <alignment/>
    </xf>
    <xf numFmtId="37" fontId="2" fillId="0" borderId="1" xfId="0" applyNumberFormat="1" applyFont="1" applyFill="1" applyBorder="1" applyAlignment="1">
      <alignment/>
    </xf>
    <xf numFmtId="185" fontId="2" fillId="0" borderId="0" xfId="15" applyNumberFormat="1" applyFont="1" applyFill="1" applyBorder="1" applyAlignment="1">
      <alignment/>
    </xf>
    <xf numFmtId="185" fontId="2" fillId="0" borderId="0" xfId="15" applyNumberFormat="1" applyFont="1" applyFill="1" applyBorder="1" applyAlignment="1">
      <alignment horizontal="right"/>
    </xf>
    <xf numFmtId="37" fontId="2" fillId="0" borderId="0" xfId="22" applyNumberFormat="1" applyFont="1" applyFill="1" applyBorder="1" applyAlignment="1">
      <alignment horizontal="right"/>
      <protection/>
    </xf>
    <xf numFmtId="37" fontId="2" fillId="0" borderId="0" xfId="22" applyNumberFormat="1" applyFont="1" applyFill="1" applyBorder="1" applyAlignment="1">
      <alignment horizontal="center"/>
      <protection/>
    </xf>
    <xf numFmtId="186" fontId="2" fillId="0" borderId="0" xfId="15" applyNumberFormat="1" applyFont="1" applyFill="1" applyBorder="1" applyAlignment="1">
      <alignment/>
    </xf>
    <xf numFmtId="185" fontId="2" fillId="0" borderId="0" xfId="15" applyNumberFormat="1" applyFont="1" applyFill="1" applyBorder="1" applyAlignment="1" quotePrefix="1">
      <alignment horizontal="right"/>
    </xf>
    <xf numFmtId="185" fontId="2" fillId="0" borderId="0" xfId="15" applyNumberFormat="1" applyFont="1" applyFill="1" applyAlignment="1">
      <alignment/>
    </xf>
    <xf numFmtId="185" fontId="2" fillId="0" borderId="0" xfId="15" applyNumberFormat="1" applyFont="1" applyFill="1" applyAlignment="1">
      <alignment horizontal="right"/>
    </xf>
    <xf numFmtId="185" fontId="2" fillId="0" borderId="2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0" fontId="2" fillId="0" borderId="0" xfId="21" applyFont="1" applyFill="1">
      <alignment/>
      <protection/>
    </xf>
    <xf numFmtId="185" fontId="2" fillId="0" borderId="3" xfId="15" applyNumberFormat="1" applyFont="1" applyFill="1" applyBorder="1" applyAlignment="1">
      <alignment/>
    </xf>
    <xf numFmtId="38" fontId="2" fillId="0" borderId="0" xfId="15" applyNumberFormat="1" applyFont="1" applyFill="1" applyAlignment="1">
      <alignment horizontal="centerContinuous"/>
    </xf>
    <xf numFmtId="38" fontId="2" fillId="0" borderId="0" xfId="15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8" fontId="2" fillId="0" borderId="0" xfId="15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3" fontId="2" fillId="0" borderId="0" xfId="15" applyFont="1" applyFill="1" applyAlignment="1">
      <alignment horizontal="right"/>
    </xf>
    <xf numFmtId="38" fontId="2" fillId="0" borderId="4" xfId="15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38" fontId="2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21" applyFont="1" applyFill="1" applyBorder="1">
      <alignment/>
      <protection/>
    </xf>
    <xf numFmtId="37" fontId="2" fillId="0" borderId="0" xfId="0" applyNumberFormat="1" applyFont="1" applyFill="1" applyBorder="1" applyAlignment="1">
      <alignment/>
    </xf>
    <xf numFmtId="37" fontId="2" fillId="0" borderId="0" xfId="21" applyNumberFormat="1" applyFont="1" applyFill="1">
      <alignment/>
      <protection/>
    </xf>
    <xf numFmtId="0" fontId="2" fillId="0" borderId="0" xfId="22" applyFont="1" applyFill="1" applyBorder="1" applyAlignment="1">
      <alignment wrapText="1"/>
      <protection/>
    </xf>
    <xf numFmtId="37" fontId="2" fillId="0" borderId="0" xfId="21" applyNumberFormat="1" applyFont="1" applyFill="1">
      <alignment/>
      <protection/>
    </xf>
    <xf numFmtId="37" fontId="2" fillId="0" borderId="0" xfId="21" applyNumberFormat="1" applyFont="1" applyFill="1" applyAlignment="1">
      <alignment/>
      <protection/>
    </xf>
    <xf numFmtId="38" fontId="2" fillId="0" borderId="0" xfId="21" applyNumberFormat="1" applyFont="1" applyFill="1" applyAlignment="1">
      <alignment horizontal="right"/>
      <protection/>
    </xf>
    <xf numFmtId="37" fontId="2" fillId="0" borderId="0" xfId="21" applyNumberFormat="1" applyFont="1" applyFill="1" applyBorder="1">
      <alignment/>
      <protection/>
    </xf>
    <xf numFmtId="37" fontId="3" fillId="0" borderId="0" xfId="21" applyNumberFormat="1" applyFont="1" applyFill="1" applyAlignment="1">
      <alignment horizontal="center"/>
      <protection/>
    </xf>
    <xf numFmtId="38" fontId="2" fillId="0" borderId="0" xfId="21" applyNumberFormat="1" applyFont="1" applyFill="1">
      <alignment/>
      <protection/>
    </xf>
    <xf numFmtId="37" fontId="3" fillId="0" borderId="0" xfId="21" applyNumberFormat="1" applyFont="1" applyFill="1" applyBorder="1" applyAlignment="1">
      <alignment horizontal="center"/>
      <protection/>
    </xf>
    <xf numFmtId="38" fontId="3" fillId="0" borderId="0" xfId="21" applyNumberFormat="1" applyFont="1" applyFill="1" applyAlignment="1">
      <alignment horizontal="center"/>
      <protection/>
    </xf>
    <xf numFmtId="37" fontId="3" fillId="0" borderId="0" xfId="21" applyNumberFormat="1" applyFont="1" applyFill="1" applyAlignment="1">
      <alignment horizontal="center"/>
      <protection/>
    </xf>
    <xf numFmtId="37" fontId="5" fillId="0" borderId="0" xfId="21" applyNumberFormat="1" applyFont="1" applyFill="1" applyAlignment="1">
      <alignment horizontal="center"/>
      <protection/>
    </xf>
    <xf numFmtId="38" fontId="2" fillId="0" borderId="0" xfId="21" applyNumberFormat="1" applyFont="1" applyFill="1" applyAlignment="1">
      <alignment horizontal="center"/>
      <protection/>
    </xf>
    <xf numFmtId="37" fontId="3" fillId="0" borderId="0" xfId="21" applyNumberFormat="1" applyFont="1" applyFill="1">
      <alignment/>
      <protection/>
    </xf>
    <xf numFmtId="37" fontId="3" fillId="0" borderId="0" xfId="21" applyNumberFormat="1" applyFont="1" applyFill="1" applyAlignment="1">
      <alignment/>
      <protection/>
    </xf>
    <xf numFmtId="38" fontId="3" fillId="0" borderId="0" xfId="21" applyNumberFormat="1" applyFont="1" applyFill="1" applyAlignment="1">
      <alignment horizontal="right"/>
      <protection/>
    </xf>
    <xf numFmtId="37" fontId="3" fillId="0" borderId="0" xfId="21" applyNumberFormat="1" applyFont="1" applyFill="1" applyBorder="1">
      <alignment/>
      <protection/>
    </xf>
    <xf numFmtId="38" fontId="3" fillId="0" borderId="0" xfId="21" applyNumberFormat="1" applyFont="1" applyFill="1" applyBorder="1" applyAlignment="1">
      <alignment horizontal="centerContinuous"/>
      <protection/>
    </xf>
    <xf numFmtId="38" fontId="3" fillId="0" borderId="0" xfId="21" applyNumberFormat="1" applyFont="1" applyFill="1" applyBorder="1" applyAlignment="1">
      <alignment horizontal="center"/>
      <protection/>
    </xf>
    <xf numFmtId="49" fontId="3" fillId="0" borderId="0" xfId="21" applyNumberFormat="1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/>
    </xf>
    <xf numFmtId="37" fontId="3" fillId="0" borderId="0" xfId="21" applyNumberFormat="1" applyFont="1" applyFill="1" applyBorder="1" applyAlignment="1">
      <alignment horizontal="center"/>
      <protection/>
    </xf>
    <xf numFmtId="38" fontId="3" fillId="0" borderId="2" xfId="21" applyNumberFormat="1" applyFont="1" applyFill="1" applyBorder="1" applyAlignment="1">
      <alignment horizontal="center"/>
      <protection/>
    </xf>
    <xf numFmtId="38" fontId="5" fillId="0" borderId="0" xfId="21" applyNumberFormat="1" applyFont="1" applyFill="1" applyAlignment="1">
      <alignment horizontal="right"/>
      <protection/>
    </xf>
    <xf numFmtId="37" fontId="3" fillId="0" borderId="0" xfId="21" applyNumberFormat="1" applyFont="1" applyFill="1" applyBorder="1" applyAlignment="1">
      <alignment/>
      <protection/>
    </xf>
    <xf numFmtId="38" fontId="5" fillId="0" borderId="0" xfId="21" applyNumberFormat="1" applyFont="1" applyFill="1" applyBorder="1" applyAlignment="1">
      <alignment horizontal="center"/>
      <protection/>
    </xf>
    <xf numFmtId="38" fontId="5" fillId="0" borderId="0" xfId="21" applyNumberFormat="1" applyFont="1" applyFill="1" applyAlignment="1">
      <alignment horizontal="right"/>
      <protection/>
    </xf>
    <xf numFmtId="38" fontId="5" fillId="0" borderId="0" xfId="21" applyNumberFormat="1" applyFont="1" applyFill="1" applyAlignment="1">
      <alignment horizontal="center"/>
      <protection/>
    </xf>
    <xf numFmtId="38" fontId="2" fillId="0" borderId="0" xfId="17" applyNumberFormat="1" applyFont="1" applyFill="1" applyAlignment="1">
      <alignment/>
    </xf>
    <xf numFmtId="37" fontId="2" fillId="0" borderId="0" xfId="21" applyNumberFormat="1" applyFont="1" applyFill="1" applyAlignment="1">
      <alignment horizontal="left"/>
      <protection/>
    </xf>
    <xf numFmtId="37" fontId="2" fillId="0" borderId="0" xfId="21" applyNumberFormat="1" applyFont="1" applyFill="1" applyAlignment="1">
      <alignment horizontal="right"/>
      <protection/>
    </xf>
    <xf numFmtId="37" fontId="2" fillId="0" borderId="0" xfId="21" applyNumberFormat="1" applyFont="1" applyFill="1" applyAlignment="1">
      <alignment horizontal="center"/>
      <protection/>
    </xf>
    <xf numFmtId="185" fontId="2" fillId="0" borderId="0" xfId="15" applyNumberFormat="1" applyFont="1" applyFill="1" applyAlignment="1">
      <alignment/>
    </xf>
    <xf numFmtId="185" fontId="2" fillId="0" borderId="0" xfId="15" applyNumberFormat="1" applyFont="1" applyFill="1" applyAlignment="1">
      <alignment horizontal="right"/>
    </xf>
    <xf numFmtId="185" fontId="2" fillId="0" borderId="0" xfId="15" applyNumberFormat="1" applyFont="1" applyFill="1" applyAlignment="1" quotePrefix="1">
      <alignment horizontal="right"/>
    </xf>
    <xf numFmtId="185" fontId="2" fillId="0" borderId="6" xfId="15" applyNumberFormat="1" applyFont="1" applyFill="1" applyBorder="1" applyAlignment="1">
      <alignment/>
    </xf>
    <xf numFmtId="37" fontId="2" fillId="0" borderId="0" xfId="21" applyNumberFormat="1" applyFont="1" applyFill="1" applyBorder="1" applyAlignment="1">
      <alignment horizontal="center"/>
      <protection/>
    </xf>
    <xf numFmtId="185" fontId="2" fillId="0" borderId="0" xfId="15" applyNumberFormat="1" applyFont="1" applyFill="1" applyBorder="1" applyAlignment="1">
      <alignment horizontal="right"/>
    </xf>
    <xf numFmtId="185" fontId="2" fillId="0" borderId="3" xfId="15" applyNumberFormat="1" applyFont="1" applyFill="1" applyBorder="1" applyAlignment="1" quotePrefix="1">
      <alignment horizontal="right"/>
    </xf>
    <xf numFmtId="38" fontId="2" fillId="0" borderId="0" xfId="21" applyNumberFormat="1" applyFont="1" applyFill="1" applyBorder="1" applyAlignment="1">
      <alignment horizontal="right"/>
      <protection/>
    </xf>
    <xf numFmtId="185" fontId="2" fillId="0" borderId="3" xfId="15" applyNumberFormat="1" applyFont="1" applyFill="1" applyBorder="1" applyAlignment="1">
      <alignment horizontal="right"/>
    </xf>
    <xf numFmtId="37" fontId="2" fillId="0" borderId="0" xfId="21" applyNumberFormat="1" applyFont="1" applyFill="1" applyAlignment="1">
      <alignment horizontal="left"/>
      <protection/>
    </xf>
    <xf numFmtId="185" fontId="1" fillId="0" borderId="7" xfId="15" applyNumberFormat="1" applyFont="1" applyFill="1" applyBorder="1" applyAlignment="1">
      <alignment/>
    </xf>
    <xf numFmtId="185" fontId="2" fillId="0" borderId="0" xfId="15" applyNumberFormat="1" applyFont="1" applyFill="1" applyAlignment="1">
      <alignment horizontal="center"/>
    </xf>
    <xf numFmtId="185" fontId="2" fillId="0" borderId="7" xfId="15" applyNumberFormat="1" applyFont="1" applyFill="1" applyBorder="1" applyAlignment="1">
      <alignment horizontal="center"/>
    </xf>
    <xf numFmtId="185" fontId="1" fillId="0" borderId="3" xfId="15" applyNumberFormat="1" applyFont="1" applyFill="1" applyBorder="1" applyAlignment="1">
      <alignment/>
    </xf>
    <xf numFmtId="185" fontId="2" fillId="0" borderId="8" xfId="15" applyNumberFormat="1" applyFont="1" applyFill="1" applyBorder="1" applyAlignment="1">
      <alignment horizontal="right"/>
    </xf>
    <xf numFmtId="38" fontId="2" fillId="0" borderId="5" xfId="21" applyNumberFormat="1" applyFont="1" applyFill="1" applyBorder="1" applyAlignment="1">
      <alignment horizontal="right"/>
      <protection/>
    </xf>
    <xf numFmtId="185" fontId="2" fillId="0" borderId="3" xfId="15" applyNumberFormat="1" applyFont="1" applyFill="1" applyBorder="1" applyAlignment="1">
      <alignment/>
    </xf>
    <xf numFmtId="185" fontId="2" fillId="0" borderId="7" xfId="15" applyNumberFormat="1" applyFont="1" applyFill="1" applyBorder="1" applyAlignment="1">
      <alignment/>
    </xf>
    <xf numFmtId="185" fontId="2" fillId="0" borderId="7" xfId="15" applyNumberFormat="1" applyFont="1" applyFill="1" applyBorder="1" applyAlignment="1">
      <alignment horizontal="right"/>
    </xf>
    <xf numFmtId="185" fontId="2" fillId="0" borderId="5" xfId="15" applyNumberFormat="1" applyFont="1" applyFill="1" applyBorder="1" applyAlignment="1">
      <alignment/>
    </xf>
    <xf numFmtId="185" fontId="2" fillId="0" borderId="5" xfId="15" applyNumberFormat="1" applyFont="1" applyFill="1" applyBorder="1" applyAlignment="1">
      <alignment horizontal="right"/>
    </xf>
    <xf numFmtId="37" fontId="2" fillId="0" borderId="0" xfId="21" applyNumberFormat="1" applyFont="1" applyFill="1" applyAlignment="1">
      <alignment horizontal="right"/>
      <protection/>
    </xf>
    <xf numFmtId="185" fontId="2" fillId="0" borderId="5" xfId="15" applyNumberFormat="1" applyFont="1" applyFill="1" applyBorder="1" applyAlignment="1" quotePrefix="1">
      <alignment horizontal="right"/>
    </xf>
    <xf numFmtId="185" fontId="2" fillId="0" borderId="7" xfId="15" applyNumberFormat="1" applyFont="1" applyFill="1" applyBorder="1" applyAlignment="1" quotePrefix="1">
      <alignment horizontal="right"/>
    </xf>
    <xf numFmtId="185" fontId="2" fillId="0" borderId="0" xfId="15" applyNumberFormat="1" applyFont="1" applyFill="1" applyBorder="1" applyAlignment="1" quotePrefix="1">
      <alignment horizontal="right"/>
    </xf>
    <xf numFmtId="185" fontId="2" fillId="0" borderId="1" xfId="15" applyNumberFormat="1" applyFont="1" applyFill="1" applyBorder="1" applyAlignment="1">
      <alignment/>
    </xf>
    <xf numFmtId="37" fontId="3" fillId="0" borderId="0" xfId="21" applyNumberFormat="1" applyFont="1" applyFill="1" applyAlignment="1">
      <alignment horizontal="right"/>
      <protection/>
    </xf>
    <xf numFmtId="185" fontId="3" fillId="0" borderId="0" xfId="15" applyNumberFormat="1" applyFont="1" applyFill="1" applyBorder="1" applyAlignment="1">
      <alignment/>
    </xf>
    <xf numFmtId="185" fontId="3" fillId="0" borderId="0" xfId="15" applyNumberFormat="1" applyFont="1" applyFill="1" applyBorder="1" applyAlignment="1">
      <alignment horizontal="right"/>
    </xf>
    <xf numFmtId="185" fontId="3" fillId="0" borderId="0" xfId="15" applyNumberFormat="1" applyFont="1" applyFill="1" applyBorder="1" applyAlignment="1">
      <alignment/>
    </xf>
    <xf numFmtId="38" fontId="3" fillId="0" borderId="0" xfId="21" applyNumberFormat="1" applyFont="1" applyFill="1" applyBorder="1" applyAlignment="1">
      <alignment horizontal="right"/>
      <protection/>
    </xf>
    <xf numFmtId="185" fontId="2" fillId="0" borderId="4" xfId="15" applyNumberFormat="1" applyFont="1" applyFill="1" applyBorder="1" applyAlignment="1">
      <alignment/>
    </xf>
    <xf numFmtId="0" fontId="2" fillId="0" borderId="0" xfId="21" applyFont="1" applyFill="1" applyBorder="1">
      <alignment/>
      <protection/>
    </xf>
    <xf numFmtId="37" fontId="3" fillId="0" borderId="0" xfId="21" applyNumberFormat="1" applyFont="1" applyFill="1" applyAlignment="1">
      <alignment vertical="center"/>
      <protection/>
    </xf>
    <xf numFmtId="37" fontId="3" fillId="0" borderId="0" xfId="21" applyNumberFormat="1" applyFont="1" applyFill="1" applyAlignment="1">
      <alignment horizontal="left"/>
      <protection/>
    </xf>
    <xf numFmtId="37" fontId="4" fillId="0" borderId="0" xfId="21" applyNumberFormat="1" applyFont="1" applyFill="1" applyAlignment="1">
      <alignment horizontal="center" vertical="center"/>
      <protection/>
    </xf>
    <xf numFmtId="185" fontId="2" fillId="0" borderId="2" xfId="15" applyNumberFormat="1" applyFont="1" applyFill="1" applyBorder="1" applyAlignment="1">
      <alignment/>
    </xf>
    <xf numFmtId="185" fontId="2" fillId="0" borderId="2" xfId="15" applyNumberFormat="1" applyFont="1" applyFill="1" applyBorder="1" applyAlignment="1">
      <alignment horizontal="right"/>
    </xf>
    <xf numFmtId="185" fontId="2" fillId="0" borderId="0" xfId="15" applyNumberFormat="1" applyFont="1" applyFill="1" applyBorder="1" applyAlignment="1">
      <alignment/>
    </xf>
    <xf numFmtId="38" fontId="2" fillId="0" borderId="0" xfId="21" applyNumberFormat="1" applyFont="1" applyFill="1" applyBorder="1">
      <alignment/>
      <protection/>
    </xf>
    <xf numFmtId="38" fontId="3" fillId="0" borderId="0" xfId="21" applyNumberFormat="1" applyFont="1" applyFill="1" applyBorder="1">
      <alignment/>
      <protection/>
    </xf>
    <xf numFmtId="38" fontId="2" fillId="0" borderId="4" xfId="17" applyNumberFormat="1" applyFont="1" applyFill="1" applyBorder="1" applyAlignment="1">
      <alignment/>
    </xf>
    <xf numFmtId="38" fontId="3" fillId="0" borderId="0" xfId="21" applyNumberFormat="1" applyFont="1" applyFill="1">
      <alignment/>
      <protection/>
    </xf>
    <xf numFmtId="37" fontId="2" fillId="0" borderId="0" xfId="22" applyNumberFormat="1" applyFont="1" applyFill="1" applyAlignment="1">
      <alignment horizontal="centerContinuous"/>
      <protection/>
    </xf>
    <xf numFmtId="38" fontId="2" fillId="0" borderId="0" xfId="22" applyNumberFormat="1" applyFont="1" applyFill="1" applyAlignment="1">
      <alignment horizontal="centerContinuous"/>
      <protection/>
    </xf>
    <xf numFmtId="38" fontId="2" fillId="0" borderId="0" xfId="18" applyNumberFormat="1" applyFont="1" applyFill="1" applyAlignment="1">
      <alignment horizontal="centerContinuous"/>
    </xf>
    <xf numFmtId="37" fontId="2" fillId="0" borderId="0" xfId="22" applyNumberFormat="1" applyFont="1" applyFill="1">
      <alignment/>
      <protection/>
    </xf>
    <xf numFmtId="37" fontId="3" fillId="0" borderId="0" xfId="22" applyNumberFormat="1" applyFont="1" applyFill="1">
      <alignment/>
      <protection/>
    </xf>
    <xf numFmtId="37" fontId="3" fillId="0" borderId="0" xfId="22" applyNumberFormat="1" applyFont="1" applyFill="1" applyAlignment="1">
      <alignment horizontal="left"/>
      <protection/>
    </xf>
    <xf numFmtId="38" fontId="3" fillId="0" borderId="0" xfId="22" applyNumberFormat="1" applyFont="1" applyFill="1" applyAlignment="1">
      <alignment horizontal="right"/>
      <protection/>
    </xf>
    <xf numFmtId="37" fontId="3" fillId="0" borderId="0" xfId="22" applyNumberFormat="1" applyFont="1" applyFill="1" applyAlignment="1">
      <alignment horizontal="center"/>
      <protection/>
    </xf>
    <xf numFmtId="37" fontId="2" fillId="0" borderId="0" xfId="22" applyNumberFormat="1" applyFont="1" applyFill="1" applyBorder="1" applyAlignment="1">
      <alignment horizontal="left"/>
      <protection/>
    </xf>
    <xf numFmtId="37" fontId="3" fillId="0" borderId="0" xfId="22" applyNumberFormat="1" applyFont="1" applyFill="1" applyAlignment="1">
      <alignment/>
      <protection/>
    </xf>
    <xf numFmtId="37" fontId="3" fillId="0" borderId="0" xfId="22" applyNumberFormat="1" applyFont="1" applyFill="1" applyBorder="1" applyAlignment="1">
      <alignment horizontal="center"/>
      <protection/>
    </xf>
    <xf numFmtId="37" fontId="5" fillId="0" borderId="0" xfId="22" applyNumberFormat="1" applyFont="1" applyFill="1">
      <alignment/>
      <protection/>
    </xf>
    <xf numFmtId="37" fontId="2" fillId="0" borderId="0" xfId="22" applyNumberFormat="1" applyFont="1" applyFill="1" applyAlignment="1">
      <alignment/>
      <protection/>
    </xf>
    <xf numFmtId="38" fontId="2" fillId="0" borderId="0" xfId="22" applyNumberFormat="1" applyFont="1" applyFill="1" applyAlignment="1">
      <alignment horizontal="right"/>
      <protection/>
    </xf>
    <xf numFmtId="38" fontId="2" fillId="0" borderId="0" xfId="22" applyNumberFormat="1" applyFont="1" applyFill="1">
      <alignment/>
      <protection/>
    </xf>
    <xf numFmtId="38" fontId="3" fillId="0" borderId="0" xfId="22" applyNumberFormat="1" applyFont="1" applyFill="1" applyAlignment="1">
      <alignment horizontal="center"/>
      <protection/>
    </xf>
    <xf numFmtId="1" fontId="3" fillId="0" borderId="0" xfId="22" applyNumberFormat="1" applyFont="1" applyFill="1" applyAlignment="1">
      <alignment horizontal="right"/>
      <protection/>
    </xf>
    <xf numFmtId="0" fontId="3" fillId="0" borderId="0" xfId="18" applyNumberFormat="1" applyFont="1" applyFill="1" applyAlignment="1">
      <alignment horizontal="center"/>
    </xf>
    <xf numFmtId="1" fontId="3" fillId="0" borderId="0" xfId="22" applyNumberFormat="1" applyFont="1" applyFill="1" applyAlignment="1">
      <alignment horizontal="center"/>
      <protection/>
    </xf>
    <xf numFmtId="38" fontId="5" fillId="0" borderId="0" xfId="22" applyNumberFormat="1" applyFont="1" applyFill="1" applyAlignment="1">
      <alignment horizontal="right"/>
      <protection/>
    </xf>
    <xf numFmtId="38" fontId="3" fillId="0" borderId="2" xfId="18" applyNumberFormat="1" applyFont="1" applyFill="1" applyBorder="1" applyAlignment="1">
      <alignment horizontal="center"/>
    </xf>
    <xf numFmtId="38" fontId="2" fillId="0" borderId="0" xfId="18" applyNumberFormat="1" applyFont="1" applyFill="1" applyAlignment="1">
      <alignment/>
    </xf>
    <xf numFmtId="37" fontId="2" fillId="0" borderId="0" xfId="22" applyNumberFormat="1" applyFont="1" applyFill="1" applyAlignment="1">
      <alignment horizontal="right"/>
      <protection/>
    </xf>
    <xf numFmtId="37" fontId="2" fillId="0" borderId="0" xfId="22" applyNumberFormat="1" applyFont="1" applyFill="1" applyBorder="1">
      <alignment/>
      <protection/>
    </xf>
    <xf numFmtId="0" fontId="2" fillId="0" borderId="0" xfId="22" applyFont="1" applyFill="1" applyBorder="1">
      <alignment/>
      <protection/>
    </xf>
    <xf numFmtId="185" fontId="2" fillId="0" borderId="4" xfId="15" applyNumberFormat="1" applyFont="1" applyFill="1" applyBorder="1" applyAlignment="1">
      <alignment/>
    </xf>
    <xf numFmtId="185" fontId="2" fillId="0" borderId="4" xfId="15" applyNumberFormat="1" applyFont="1" applyFill="1" applyBorder="1" applyAlignment="1">
      <alignment horizontal="right"/>
    </xf>
    <xf numFmtId="37" fontId="2" fillId="0" borderId="0" xfId="18" applyNumberFormat="1" applyFont="1" applyFill="1" applyAlignment="1">
      <alignment/>
    </xf>
    <xf numFmtId="38" fontId="2" fillId="0" borderId="0" xfId="18" applyNumberFormat="1" applyFont="1" applyFill="1" applyBorder="1" applyAlignment="1">
      <alignment/>
    </xf>
    <xf numFmtId="37" fontId="2" fillId="0" borderId="4" xfId="18" applyNumberFormat="1" applyFont="1" applyFill="1" applyBorder="1" applyAlignment="1">
      <alignment/>
    </xf>
    <xf numFmtId="37" fontId="2" fillId="0" borderId="4" xfId="18" applyNumberFormat="1" applyFont="1" applyFill="1" applyBorder="1" applyAlignment="1" quotePrefix="1">
      <alignment horizontal="right"/>
    </xf>
    <xf numFmtId="37" fontId="3" fillId="0" borderId="0" xfId="22" applyNumberFormat="1" applyFont="1" applyFill="1" applyBorder="1">
      <alignment/>
      <protection/>
    </xf>
    <xf numFmtId="38" fontId="2" fillId="0" borderId="0" xfId="22" applyNumberFormat="1" applyFont="1" applyFill="1" applyBorder="1" applyAlignment="1">
      <alignment horizontal="right"/>
      <protection/>
    </xf>
    <xf numFmtId="38" fontId="2" fillId="0" borderId="0" xfId="18" applyNumberFormat="1" applyFont="1" applyFill="1" applyBorder="1" applyAlignment="1" quotePrefix="1">
      <alignment horizontal="right"/>
    </xf>
    <xf numFmtId="38" fontId="2" fillId="0" borderId="0" xfId="22" applyNumberFormat="1" applyFont="1" applyFill="1" applyBorder="1">
      <alignment/>
      <protection/>
    </xf>
    <xf numFmtId="37" fontId="3" fillId="0" borderId="0" xfId="21" applyNumberFormat="1" applyFont="1" applyFill="1">
      <alignment/>
      <protection/>
    </xf>
    <xf numFmtId="37" fontId="2" fillId="0" borderId="0" xfId="22" applyNumberFormat="1" applyFont="1" applyFill="1" applyBorder="1" applyAlignment="1">
      <alignment/>
      <protection/>
    </xf>
    <xf numFmtId="37" fontId="3" fillId="0" borderId="0" xfId="21" applyNumberFormat="1" applyFont="1" applyFill="1" applyAlignment="1">
      <alignment vertical="center"/>
      <protection/>
    </xf>
    <xf numFmtId="37" fontId="2" fillId="0" borderId="0" xfId="22" applyNumberFormat="1" applyFont="1" applyFill="1" applyBorder="1" applyAlignment="1">
      <alignment wrapText="1"/>
      <protection/>
    </xf>
    <xf numFmtId="38" fontId="2" fillId="0" borderId="0" xfId="18" applyNumberFormat="1" applyFont="1" applyFill="1" applyBorder="1" applyAlignment="1">
      <alignment horizontal="right"/>
    </xf>
    <xf numFmtId="37" fontId="3" fillId="0" borderId="0" xfId="22" applyNumberFormat="1" applyFont="1" applyFill="1" applyAlignment="1">
      <alignment vertical="center"/>
      <protection/>
    </xf>
    <xf numFmtId="37" fontId="2" fillId="0" borderId="0" xfId="22" applyNumberFormat="1" applyFont="1" applyFill="1" applyAlignment="1">
      <alignment horizontal="center"/>
      <protection/>
    </xf>
    <xf numFmtId="37" fontId="2" fillId="0" borderId="0" xfId="21" applyNumberFormat="1" applyFont="1" applyFill="1" applyAlignment="1">
      <alignment/>
      <protection/>
    </xf>
    <xf numFmtId="38" fontId="2" fillId="0" borderId="0" xfId="21" applyNumberFormat="1" applyFont="1" applyFill="1" applyAlignment="1">
      <alignment horizontal="right"/>
      <protection/>
    </xf>
    <xf numFmtId="38" fontId="2" fillId="0" borderId="0" xfId="21" applyNumberFormat="1" applyFont="1" applyFill="1">
      <alignment/>
      <protection/>
    </xf>
    <xf numFmtId="38" fontId="3" fillId="0" borderId="0" xfId="21" applyNumberFormat="1" applyFont="1" applyFill="1" applyAlignment="1">
      <alignment horizontal="center"/>
      <protection/>
    </xf>
    <xf numFmtId="37" fontId="5" fillId="0" borderId="0" xfId="21" applyNumberFormat="1" applyFont="1" applyFill="1" applyAlignment="1">
      <alignment horizontal="center"/>
      <protection/>
    </xf>
    <xf numFmtId="38" fontId="2" fillId="0" borderId="0" xfId="21" applyNumberFormat="1" applyFont="1" applyFill="1" applyAlignment="1">
      <alignment horizontal="center"/>
      <protection/>
    </xf>
    <xf numFmtId="37" fontId="5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38" fontId="3" fillId="0" borderId="0" xfId="15" applyNumberFormat="1" applyFont="1" applyFill="1" applyAlignment="1">
      <alignment/>
    </xf>
    <xf numFmtId="38" fontId="2" fillId="0" borderId="0" xfId="15" applyNumberFormat="1" applyFont="1" applyFill="1" applyAlignment="1">
      <alignment horizontal="center"/>
    </xf>
    <xf numFmtId="38" fontId="3" fillId="0" borderId="0" xfId="15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8" fontId="3" fillId="0" borderId="0" xfId="15" applyNumberFormat="1" applyFont="1" applyFill="1" applyBorder="1" applyAlignment="1">
      <alignment horizontal="right"/>
    </xf>
    <xf numFmtId="38" fontId="3" fillId="0" borderId="0" xfId="15" applyNumberFormat="1" applyFont="1" applyFill="1" applyBorder="1" applyAlignment="1" quotePrefix="1">
      <alignment horizontal="right"/>
    </xf>
    <xf numFmtId="0" fontId="3" fillId="0" borderId="0" xfId="0" applyFont="1" applyFill="1" applyBorder="1" applyAlignment="1">
      <alignment horizontal="right"/>
    </xf>
    <xf numFmtId="49" fontId="3" fillId="0" borderId="2" xfId="18" applyNumberFormat="1" applyFont="1" applyFill="1" applyBorder="1" applyAlignment="1">
      <alignment horizontal="centerContinuous"/>
    </xf>
    <xf numFmtId="38" fontId="5" fillId="0" borderId="2" xfId="15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/>
    </xf>
    <xf numFmtId="38" fontId="3" fillId="0" borderId="0" xfId="0" applyNumberFormat="1" applyFont="1" applyFill="1" applyBorder="1" applyAlignment="1">
      <alignment/>
    </xf>
    <xf numFmtId="185" fontId="2" fillId="0" borderId="1" xfId="15" applyNumberFormat="1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38" fontId="3" fillId="0" borderId="0" xfId="21" applyNumberFormat="1" applyFont="1" applyFill="1" applyAlignment="1">
      <alignment horizontal="right"/>
      <protection/>
    </xf>
    <xf numFmtId="37" fontId="2" fillId="0" borderId="0" xfId="15" applyNumberFormat="1" applyFont="1" applyFill="1" applyAlignment="1">
      <alignment horizontal="centerContinuous"/>
    </xf>
    <xf numFmtId="43" fontId="2" fillId="0" borderId="0" xfId="15" applyFont="1" applyFill="1" applyAlignment="1">
      <alignment/>
    </xf>
    <xf numFmtId="49" fontId="3" fillId="0" borderId="0" xfId="15" applyNumberFormat="1" applyFont="1" applyFill="1" applyAlignment="1">
      <alignment horizontal="center"/>
    </xf>
    <xf numFmtId="37" fontId="2" fillId="0" borderId="0" xfId="0" applyNumberFormat="1" applyFont="1" applyFill="1" applyAlignment="1">
      <alignment/>
    </xf>
    <xf numFmtId="37" fontId="3" fillId="0" borderId="0" xfId="15" applyNumberFormat="1" applyFont="1" applyFill="1" applyAlignment="1">
      <alignment horizontal="center"/>
    </xf>
    <xf numFmtId="37" fontId="2" fillId="0" borderId="0" xfId="15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Continuous"/>
    </xf>
    <xf numFmtId="38" fontId="3" fillId="0" borderId="2" xfId="15" applyNumberFormat="1" applyFont="1" applyFill="1" applyBorder="1" applyAlignment="1">
      <alignment horizontal="center"/>
    </xf>
    <xf numFmtId="37" fontId="3" fillId="0" borderId="0" xfId="15" applyNumberFormat="1" applyFont="1" applyFill="1" applyAlignment="1">
      <alignment horizontal="centerContinuous"/>
    </xf>
    <xf numFmtId="43" fontId="3" fillId="0" borderId="0" xfId="15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wrapText="1" indent="1"/>
    </xf>
    <xf numFmtId="186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wrapText="1" indent="2"/>
    </xf>
    <xf numFmtId="0" fontId="2" fillId="0" borderId="0" xfId="0" applyFont="1" applyFill="1" applyAlignment="1">
      <alignment horizontal="left" indent="2"/>
    </xf>
    <xf numFmtId="37" fontId="2" fillId="0" borderId="0" xfId="15" applyNumberFormat="1" applyFont="1" applyFill="1" applyBorder="1" applyAlignment="1">
      <alignment horizontal="left" indent="2"/>
    </xf>
    <xf numFmtId="185" fontId="2" fillId="0" borderId="0" xfId="15" applyNumberFormat="1" applyFont="1" applyFill="1" applyAlignment="1">
      <alignment horizontal="left" indent="2"/>
    </xf>
    <xf numFmtId="43" fontId="2" fillId="0" borderId="0" xfId="15" applyFont="1" applyFill="1" applyAlignment="1">
      <alignment horizontal="left" indent="2"/>
    </xf>
    <xf numFmtId="43" fontId="3" fillId="0" borderId="0" xfId="15" applyFont="1" applyFill="1" applyAlignment="1">
      <alignment horizontal="centerContinuous"/>
    </xf>
    <xf numFmtId="185" fontId="2" fillId="0" borderId="0" xfId="15" applyNumberFormat="1" applyFont="1" applyFill="1" applyAlignment="1">
      <alignment horizontal="centerContinuous"/>
    </xf>
    <xf numFmtId="185" fontId="2" fillId="0" borderId="2" xfId="15" applyNumberFormat="1" applyFont="1" applyFill="1" applyBorder="1" applyAlignment="1">
      <alignment horizontal="right"/>
    </xf>
    <xf numFmtId="37" fontId="2" fillId="0" borderId="2" xfId="15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left" indent="1"/>
    </xf>
    <xf numFmtId="185" fontId="2" fillId="0" borderId="0" xfId="15" applyNumberFormat="1" applyFont="1" applyFill="1" applyBorder="1" applyAlignment="1" quotePrefix="1">
      <alignment/>
    </xf>
    <xf numFmtId="0" fontId="6" fillId="0" borderId="0" xfId="0" applyFont="1" applyFill="1" applyAlignment="1">
      <alignment/>
    </xf>
    <xf numFmtId="37" fontId="2" fillId="0" borderId="4" xfId="15" applyNumberFormat="1" applyFont="1" applyFill="1" applyBorder="1" applyAlignment="1">
      <alignment/>
    </xf>
    <xf numFmtId="37" fontId="2" fillId="0" borderId="2" xfId="15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37" fontId="2" fillId="0" borderId="0" xfId="15" applyNumberFormat="1" applyFont="1" applyFill="1" applyAlignment="1">
      <alignment horizontal="right"/>
    </xf>
    <xf numFmtId="37" fontId="3" fillId="0" borderId="0" xfId="0" applyNumberFormat="1" applyFont="1" applyFill="1" applyAlignment="1">
      <alignment/>
    </xf>
    <xf numFmtId="38" fontId="3" fillId="0" borderId="0" xfId="22" applyNumberFormat="1" applyFont="1" applyFill="1" applyAlignment="1">
      <alignment horizontal="centerContinuous"/>
      <protection/>
    </xf>
    <xf numFmtId="177" fontId="3" fillId="0" borderId="0" xfId="19" applyFont="1" applyFill="1" applyAlignment="1">
      <alignment horizontal="centerContinuous"/>
    </xf>
    <xf numFmtId="38" fontId="3" fillId="0" borderId="0" xfId="15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omma_BSHEET2001(Sign)" xfId="17"/>
    <cellStyle name="Comma_P&amp;L2001(Sign)" xfId="18"/>
    <cellStyle name="Currency" xfId="19"/>
    <cellStyle name="Currency [0]" xfId="20"/>
    <cellStyle name="Normal_BSHEET2001(Sign)" xfId="21"/>
    <cellStyle name="Normal_P&amp;L2001(Sign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9</xdr:row>
      <xdr:rowOff>123825</xdr:rowOff>
    </xdr:from>
    <xdr:to>
      <xdr:col>8</xdr:col>
      <xdr:colOff>542925</xdr:colOff>
      <xdr:row>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695950" y="19240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9</xdr:row>
      <xdr:rowOff>123825</xdr:rowOff>
    </xdr:from>
    <xdr:to>
      <xdr:col>5</xdr:col>
      <xdr:colOff>438150</xdr:colOff>
      <xdr:row>9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2990850" y="19240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114300</xdr:rowOff>
    </xdr:from>
    <xdr:to>
      <xdr:col>8</xdr:col>
      <xdr:colOff>533400</xdr:colOff>
      <xdr:row>13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943600" y="25908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13</xdr:row>
      <xdr:rowOff>114300</xdr:rowOff>
    </xdr:from>
    <xdr:to>
      <xdr:col>7</xdr:col>
      <xdr:colOff>114300</xdr:colOff>
      <xdr:row>13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4676775" y="25908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37</xdr:row>
      <xdr:rowOff>0</xdr:rowOff>
    </xdr:from>
    <xdr:to>
      <xdr:col>8</xdr:col>
      <xdr:colOff>542925</xdr:colOff>
      <xdr:row>37</xdr:row>
      <xdr:rowOff>0</xdr:rowOff>
    </xdr:to>
    <xdr:sp>
      <xdr:nvSpPr>
        <xdr:cNvPr id="5" name="Line 5"/>
        <xdr:cNvSpPr>
          <a:spLocks/>
        </xdr:cNvSpPr>
      </xdr:nvSpPr>
      <xdr:spPr>
        <a:xfrm>
          <a:off x="5667375" y="6315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37</xdr:row>
      <xdr:rowOff>0</xdr:rowOff>
    </xdr:from>
    <xdr:to>
      <xdr:col>6</xdr:col>
      <xdr:colOff>9525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2981325" y="63150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37</xdr:row>
      <xdr:rowOff>0</xdr:rowOff>
    </xdr:from>
    <xdr:to>
      <xdr:col>8</xdr:col>
      <xdr:colOff>504825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>
          <a:off x="5943600" y="63150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37</xdr:row>
      <xdr:rowOff>0</xdr:rowOff>
    </xdr:from>
    <xdr:to>
      <xdr:col>7</xdr:col>
      <xdr:colOff>104775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676775" y="631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37</xdr:row>
      <xdr:rowOff>0</xdr:rowOff>
    </xdr:from>
    <xdr:to>
      <xdr:col>8</xdr:col>
      <xdr:colOff>542925</xdr:colOff>
      <xdr:row>37</xdr:row>
      <xdr:rowOff>0</xdr:rowOff>
    </xdr:to>
    <xdr:sp>
      <xdr:nvSpPr>
        <xdr:cNvPr id="9" name="Line 9"/>
        <xdr:cNvSpPr>
          <a:spLocks/>
        </xdr:cNvSpPr>
      </xdr:nvSpPr>
      <xdr:spPr>
        <a:xfrm>
          <a:off x="5667375" y="6315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37</xdr:row>
      <xdr:rowOff>0</xdr:rowOff>
    </xdr:from>
    <xdr:to>
      <xdr:col>6</xdr:col>
      <xdr:colOff>9525</xdr:colOff>
      <xdr:row>37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2981325" y="63150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37</xdr:row>
      <xdr:rowOff>0</xdr:rowOff>
    </xdr:from>
    <xdr:to>
      <xdr:col>8</xdr:col>
      <xdr:colOff>504825</xdr:colOff>
      <xdr:row>37</xdr:row>
      <xdr:rowOff>0</xdr:rowOff>
    </xdr:to>
    <xdr:sp>
      <xdr:nvSpPr>
        <xdr:cNvPr id="11" name="Line 11"/>
        <xdr:cNvSpPr>
          <a:spLocks/>
        </xdr:cNvSpPr>
      </xdr:nvSpPr>
      <xdr:spPr>
        <a:xfrm>
          <a:off x="5943600" y="63150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37</xdr:row>
      <xdr:rowOff>0</xdr:rowOff>
    </xdr:from>
    <xdr:to>
      <xdr:col>7</xdr:col>
      <xdr:colOff>104775</xdr:colOff>
      <xdr:row>37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676775" y="6315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1"/>
  <sheetViews>
    <sheetView tabSelected="1" view="pageBreakPreview" zoomScaleSheetLayoutView="100" workbookViewId="0" topLeftCell="A1">
      <selection activeCell="E40" sqref="E40"/>
    </sheetView>
  </sheetViews>
  <sheetFormatPr defaultColWidth="9.140625" defaultRowHeight="12.75"/>
  <cols>
    <col min="1" max="1" width="2.28125" style="111" customWidth="1"/>
    <col min="2" max="4" width="10.8515625" style="111" customWidth="1"/>
    <col min="5" max="5" width="12.7109375" style="129" customWidth="1"/>
    <col min="6" max="6" width="1.421875" style="122" customWidth="1"/>
    <col min="7" max="7" width="12.7109375" style="122" customWidth="1"/>
    <col min="8" max="8" width="1.421875" style="122" customWidth="1"/>
    <col min="9" max="9" width="12.7109375" style="129" customWidth="1"/>
    <col min="10" max="10" width="1.421875" style="122" customWidth="1"/>
    <col min="11" max="11" width="12.7109375" style="122" customWidth="1"/>
    <col min="12" max="12" width="3.7109375" style="111" customWidth="1"/>
    <col min="13" max="13" width="8.7109375" style="111" customWidth="1"/>
    <col min="14" max="16384" width="6.7109375" style="111" customWidth="1"/>
  </cols>
  <sheetData>
    <row r="1" spans="2:11" ht="15.75">
      <c r="B1" s="108"/>
      <c r="C1" s="108"/>
      <c r="D1" s="108"/>
      <c r="E1" s="110"/>
      <c r="F1" s="109"/>
      <c r="G1" s="109"/>
      <c r="H1" s="109"/>
      <c r="I1" s="110"/>
      <c r="J1" s="109"/>
      <c r="K1" s="109"/>
    </row>
    <row r="2" spans="3:11" s="112" customFormat="1" ht="15.75">
      <c r="C2" s="113"/>
      <c r="D2" s="113"/>
      <c r="E2" s="115" t="s">
        <v>0</v>
      </c>
      <c r="F2" s="114"/>
      <c r="H2" s="114"/>
      <c r="I2" s="114"/>
      <c r="J2" s="114"/>
      <c r="K2" s="114"/>
    </row>
    <row r="3" spans="3:11" s="112" customFormat="1" ht="15.75">
      <c r="C3" s="116"/>
      <c r="D3" s="117"/>
      <c r="E3" s="118" t="s">
        <v>1</v>
      </c>
      <c r="F3" s="114"/>
      <c r="H3" s="114"/>
      <c r="I3" s="114"/>
      <c r="J3" s="114"/>
      <c r="K3" s="114"/>
    </row>
    <row r="4" spans="3:11" ht="15.75">
      <c r="C4" s="119"/>
      <c r="D4" s="120"/>
      <c r="E4" s="115" t="s">
        <v>2</v>
      </c>
      <c r="F4" s="121"/>
      <c r="H4" s="121"/>
      <c r="I4" s="121"/>
      <c r="J4" s="121"/>
      <c r="K4" s="121"/>
    </row>
    <row r="5" spans="4:11" ht="15.75">
      <c r="D5" s="120"/>
      <c r="E5" s="121"/>
      <c r="F5" s="121"/>
      <c r="G5" s="121"/>
      <c r="H5" s="121"/>
      <c r="I5" s="121"/>
      <c r="J5" s="121"/>
      <c r="K5" s="121"/>
    </row>
    <row r="6" spans="4:11" ht="15.75">
      <c r="D6" s="120"/>
      <c r="E6" s="121"/>
      <c r="F6" s="121"/>
      <c r="G6" s="121"/>
      <c r="H6" s="121"/>
      <c r="I6" s="121"/>
      <c r="J6" s="121"/>
      <c r="K6" s="121"/>
    </row>
    <row r="7" spans="2:11" ht="15.75">
      <c r="B7" s="111" t="s">
        <v>151</v>
      </c>
      <c r="D7" s="120"/>
      <c r="E7" s="121"/>
      <c r="F7" s="121"/>
      <c r="G7" s="121"/>
      <c r="H7" s="121"/>
      <c r="I7" s="121"/>
      <c r="J7" s="121"/>
      <c r="K7" s="121"/>
    </row>
    <row r="8" spans="2:11" ht="15.75">
      <c r="B8" s="111" t="s">
        <v>116</v>
      </c>
      <c r="D8" s="120"/>
      <c r="E8" s="121"/>
      <c r="F8" s="121"/>
      <c r="G8" s="121"/>
      <c r="H8" s="121"/>
      <c r="I8" s="121"/>
      <c r="J8" s="121"/>
      <c r="K8" s="121"/>
    </row>
    <row r="9" spans="4:11" ht="15.75">
      <c r="D9" s="120"/>
      <c r="E9" s="121"/>
      <c r="F9" s="121"/>
      <c r="G9" s="121"/>
      <c r="H9" s="121"/>
      <c r="I9" s="121"/>
      <c r="J9" s="121"/>
      <c r="K9" s="121"/>
    </row>
    <row r="10" spans="4:11" ht="15.75">
      <c r="D10" s="120"/>
      <c r="E10" s="121"/>
      <c r="F10" s="121"/>
      <c r="G10" s="121"/>
      <c r="H10" s="121"/>
      <c r="I10" s="121"/>
      <c r="J10" s="121"/>
      <c r="K10" s="121"/>
    </row>
    <row r="11" spans="2:11" s="112" customFormat="1" ht="15" customHeight="1">
      <c r="B11" s="112" t="s">
        <v>124</v>
      </c>
      <c r="D11" s="117"/>
      <c r="E11" s="114"/>
      <c r="F11" s="114"/>
      <c r="G11" s="114"/>
      <c r="H11" s="114"/>
      <c r="I11" s="114"/>
      <c r="J11" s="114"/>
      <c r="K11" s="114"/>
    </row>
    <row r="12" spans="4:11" s="112" customFormat="1" ht="15" customHeight="1">
      <c r="D12" s="117"/>
      <c r="E12" s="114"/>
      <c r="F12" s="114"/>
      <c r="G12" s="114"/>
      <c r="H12" s="114"/>
      <c r="I12" s="114"/>
      <c r="J12" s="114"/>
      <c r="K12" s="114"/>
    </row>
    <row r="13" spans="4:11" s="112" customFormat="1" ht="15" customHeight="1">
      <c r="D13" s="117"/>
      <c r="E13" s="114"/>
      <c r="F13" s="114"/>
      <c r="G13" s="114"/>
      <c r="H13" s="114"/>
      <c r="I13" s="114"/>
      <c r="J13" s="114"/>
      <c r="K13" s="114"/>
    </row>
    <row r="14" spans="4:11" s="112" customFormat="1" ht="15" customHeight="1">
      <c r="D14" s="117"/>
      <c r="E14" s="204" t="s">
        <v>117</v>
      </c>
      <c r="F14" s="204"/>
      <c r="G14" s="204"/>
      <c r="H14" s="114"/>
      <c r="I14" s="205" t="s">
        <v>147</v>
      </c>
      <c r="J14" s="204"/>
      <c r="K14" s="204"/>
    </row>
    <row r="15" spans="5:11" ht="15.75">
      <c r="E15" s="165" t="s">
        <v>146</v>
      </c>
      <c r="F15" s="165"/>
      <c r="G15" s="165"/>
      <c r="I15" s="165" t="s">
        <v>146</v>
      </c>
      <c r="J15" s="165"/>
      <c r="K15" s="165"/>
    </row>
    <row r="16" spans="2:11" ht="15.75">
      <c r="B16" s="115"/>
      <c r="C16" s="115"/>
      <c r="D16" s="117"/>
      <c r="E16" s="125">
        <v>2002</v>
      </c>
      <c r="F16" s="126"/>
      <c r="G16" s="125">
        <v>2001</v>
      </c>
      <c r="H16" s="124"/>
      <c r="I16" s="125">
        <v>2002</v>
      </c>
      <c r="J16" s="126"/>
      <c r="K16" s="125">
        <v>2001</v>
      </c>
    </row>
    <row r="17" spans="2:11" ht="15.75">
      <c r="B17" s="115"/>
      <c r="C17" s="115"/>
      <c r="D17" s="118"/>
      <c r="E17" s="128" t="s">
        <v>3</v>
      </c>
      <c r="F17" s="123"/>
      <c r="G17" s="128" t="s">
        <v>3</v>
      </c>
      <c r="H17" s="114"/>
      <c r="I17" s="128" t="s">
        <v>3</v>
      </c>
      <c r="J17" s="123"/>
      <c r="K17" s="128" t="s">
        <v>3</v>
      </c>
    </row>
    <row r="18" spans="2:11" ht="15.75">
      <c r="B18" s="115"/>
      <c r="C18" s="115"/>
      <c r="D18" s="117"/>
      <c r="F18" s="127"/>
      <c r="G18" s="129"/>
      <c r="H18" s="127"/>
      <c r="J18" s="127"/>
      <c r="K18" s="129"/>
    </row>
    <row r="19" spans="2:11" ht="15.75">
      <c r="B19" s="111" t="s">
        <v>44</v>
      </c>
      <c r="D19" s="130"/>
      <c r="E19" s="11">
        <f>42951</f>
        <v>42951</v>
      </c>
      <c r="F19" s="8"/>
      <c r="G19" s="7">
        <f>143731</f>
        <v>143731</v>
      </c>
      <c r="H19" s="8"/>
      <c r="I19" s="7">
        <f>216315</f>
        <v>216315</v>
      </c>
      <c r="J19" s="8"/>
      <c r="K19" s="7">
        <v>367245</v>
      </c>
    </row>
    <row r="20" spans="2:11" ht="15.75">
      <c r="B20" s="111" t="s">
        <v>45</v>
      </c>
      <c r="D20" s="130"/>
      <c r="E20" s="7">
        <v>391</v>
      </c>
      <c r="F20" s="8"/>
      <c r="G20" s="7">
        <v>150</v>
      </c>
      <c r="H20" s="8"/>
      <c r="I20" s="7">
        <f>1058</f>
        <v>1058</v>
      </c>
      <c r="J20" s="8"/>
      <c r="K20" s="7">
        <v>791</v>
      </c>
    </row>
    <row r="21" spans="2:11" ht="15.75">
      <c r="B21" s="131" t="s">
        <v>46</v>
      </c>
      <c r="C21" s="131"/>
      <c r="D21" s="10"/>
      <c r="E21" s="7">
        <f>-36645</f>
        <v>-36645</v>
      </c>
      <c r="F21" s="8"/>
      <c r="G21" s="7">
        <f>-34141</f>
        <v>-34141</v>
      </c>
      <c r="H21" s="8"/>
      <c r="I21" s="11">
        <f>-156502</f>
        <v>-156502</v>
      </c>
      <c r="J21" s="8"/>
      <c r="K21" s="7">
        <f>-167109</f>
        <v>-167109</v>
      </c>
    </row>
    <row r="22" spans="2:11" ht="15.75">
      <c r="B22" s="131" t="s">
        <v>47</v>
      </c>
      <c r="C22" s="131"/>
      <c r="D22" s="9"/>
      <c r="E22" s="7">
        <f>-42870+6989</f>
        <v>-35881</v>
      </c>
      <c r="F22" s="8"/>
      <c r="G22" s="7">
        <f>-244605</f>
        <v>-244605</v>
      </c>
      <c r="H22" s="8"/>
      <c r="I22" s="7">
        <f>-44464+6989</f>
        <v>-37475</v>
      </c>
      <c r="J22" s="8"/>
      <c r="K22" s="7">
        <f>-301715</f>
        <v>-301715</v>
      </c>
    </row>
    <row r="23" spans="2:11" ht="15.75">
      <c r="B23" s="116" t="s">
        <v>48</v>
      </c>
      <c r="C23" s="116"/>
      <c r="D23" s="9"/>
      <c r="E23" s="13"/>
      <c r="F23" s="8"/>
      <c r="G23" s="13"/>
      <c r="H23" s="13"/>
      <c r="I23" s="13"/>
      <c r="J23" s="13"/>
      <c r="K23" s="13"/>
    </row>
    <row r="24" spans="2:11" ht="15.75">
      <c r="B24" s="116" t="s">
        <v>49</v>
      </c>
      <c r="C24" s="116"/>
      <c r="D24" s="9"/>
      <c r="E24" s="12">
        <f>-15544</f>
        <v>-15544</v>
      </c>
      <c r="F24" s="8"/>
      <c r="G24" s="12">
        <f>-31209</f>
        <v>-31209</v>
      </c>
      <c r="H24" s="8"/>
      <c r="I24" s="12">
        <f>-18756</f>
        <v>-18756</v>
      </c>
      <c r="J24" s="8"/>
      <c r="K24" s="12">
        <f>-31209</f>
        <v>-31209</v>
      </c>
    </row>
    <row r="25" spans="2:11" ht="15.75">
      <c r="B25" s="131" t="s">
        <v>50</v>
      </c>
      <c r="C25" s="131"/>
      <c r="D25" s="9"/>
      <c r="E25" s="7"/>
      <c r="F25" s="8"/>
      <c r="G25" s="7"/>
      <c r="H25" s="8"/>
      <c r="I25" s="7"/>
      <c r="J25" s="8"/>
      <c r="K25" s="7"/>
    </row>
    <row r="26" spans="2:11" ht="15.75">
      <c r="B26" s="131" t="s">
        <v>51</v>
      </c>
      <c r="C26" s="131"/>
      <c r="D26" s="10"/>
      <c r="E26" s="13"/>
      <c r="F26" s="13"/>
      <c r="G26" s="13"/>
      <c r="H26" s="13"/>
      <c r="I26" s="13"/>
      <c r="J26" s="13"/>
      <c r="K26" s="13"/>
    </row>
    <row r="27" spans="2:11" ht="15.75">
      <c r="B27" s="131" t="s">
        <v>52</v>
      </c>
      <c r="C27" s="131"/>
      <c r="D27" s="10"/>
      <c r="E27" s="7">
        <f>-2972</f>
        <v>-2972</v>
      </c>
      <c r="F27" s="8"/>
      <c r="G27" s="7">
        <f>-58365</f>
        <v>-58365</v>
      </c>
      <c r="H27" s="8"/>
      <c r="I27" s="7">
        <v>-1205</v>
      </c>
      <c r="J27" s="8"/>
      <c r="K27" s="7">
        <f>-28581</f>
        <v>-28581</v>
      </c>
    </row>
    <row r="28" spans="2:11" ht="15.75">
      <c r="B28" s="132" t="s">
        <v>53</v>
      </c>
      <c r="C28" s="132"/>
      <c r="D28" s="10"/>
      <c r="E28" s="13">
        <f>-2340</f>
        <v>-2340</v>
      </c>
      <c r="F28" s="8"/>
      <c r="G28" s="13">
        <f>48402</f>
        <v>48402</v>
      </c>
      <c r="H28" s="8"/>
      <c r="I28" s="12">
        <f>-14128</f>
        <v>-14128</v>
      </c>
      <c r="J28" s="8"/>
      <c r="K28" s="12">
        <f>5517</f>
        <v>5517</v>
      </c>
    </row>
    <row r="29" spans="2:11" ht="15.75">
      <c r="B29" s="131" t="s">
        <v>54</v>
      </c>
      <c r="C29" s="131"/>
      <c r="D29" s="9"/>
      <c r="E29" s="13">
        <f>-3582</f>
        <v>-3582</v>
      </c>
      <c r="F29" s="8"/>
      <c r="G29" s="13">
        <f>-4709</f>
        <v>-4709</v>
      </c>
      <c r="H29" s="8"/>
      <c r="I29" s="8">
        <f>-16894</f>
        <v>-16894</v>
      </c>
      <c r="J29" s="8"/>
      <c r="K29" s="8">
        <f>-18669</f>
        <v>-18669</v>
      </c>
    </row>
    <row r="30" spans="2:11" ht="15.75">
      <c r="B30" s="131" t="s">
        <v>55</v>
      </c>
      <c r="C30" s="131"/>
      <c r="D30" s="9"/>
      <c r="E30" s="13">
        <f>-2132</f>
        <v>-2132</v>
      </c>
      <c r="F30" s="8"/>
      <c r="G30" s="13">
        <f>-3702</f>
        <v>-3702</v>
      </c>
      <c r="H30" s="8"/>
      <c r="I30" s="14">
        <f>-8560</f>
        <v>-8560</v>
      </c>
      <c r="J30" s="8"/>
      <c r="K30" s="14">
        <f>-8746</f>
        <v>-8746</v>
      </c>
    </row>
    <row r="31" spans="2:11" ht="15.75">
      <c r="B31" s="131" t="s">
        <v>143</v>
      </c>
      <c r="C31" s="131"/>
      <c r="D31" s="9"/>
      <c r="E31" s="13"/>
      <c r="F31" s="8"/>
      <c r="G31" s="13"/>
      <c r="H31" s="8"/>
      <c r="I31" s="14"/>
      <c r="J31" s="8"/>
      <c r="K31" s="14"/>
    </row>
    <row r="32" spans="2:11" ht="15.75">
      <c r="B32" s="131" t="s">
        <v>144</v>
      </c>
      <c r="C32" s="131"/>
      <c r="D32" s="9"/>
      <c r="E32" s="13">
        <f>-2563</f>
        <v>-2563</v>
      </c>
      <c r="F32" s="8"/>
      <c r="G32" s="13">
        <f>-4141</f>
        <v>-4141</v>
      </c>
      <c r="H32" s="8"/>
      <c r="I32" s="14">
        <f>-33877</f>
        <v>-33877</v>
      </c>
      <c r="J32" s="8"/>
      <c r="K32" s="14">
        <f>-26368</f>
        <v>-26368</v>
      </c>
    </row>
    <row r="33" spans="2:11" ht="15.75">
      <c r="B33" s="131" t="s">
        <v>56</v>
      </c>
      <c r="C33" s="131"/>
      <c r="D33" s="9"/>
      <c r="E33" s="7">
        <f>-2240</f>
        <v>-2240</v>
      </c>
      <c r="F33" s="8"/>
      <c r="G33" s="7">
        <f>-229903+4141</f>
        <v>-225762</v>
      </c>
      <c r="H33" s="8"/>
      <c r="I33" s="7">
        <f>-54490</f>
        <v>-54490</v>
      </c>
      <c r="J33" s="8"/>
      <c r="K33" s="7">
        <f>-306146+26368</f>
        <v>-279778</v>
      </c>
    </row>
    <row r="34" spans="2:11" ht="3.75" customHeight="1">
      <c r="B34" s="131"/>
      <c r="C34" s="131"/>
      <c r="D34" s="9"/>
      <c r="E34" s="15"/>
      <c r="F34" s="8"/>
      <c r="G34" s="15"/>
      <c r="H34" s="8"/>
      <c r="I34" s="15"/>
      <c r="J34" s="8"/>
      <c r="K34" s="15"/>
    </row>
    <row r="35" spans="2:11" ht="3.75" customHeight="1">
      <c r="B35" s="131"/>
      <c r="C35" s="131"/>
      <c r="D35" s="9"/>
      <c r="E35" s="7"/>
      <c r="F35" s="8"/>
      <c r="G35" s="7"/>
      <c r="H35" s="8"/>
      <c r="I35" s="7"/>
      <c r="J35" s="8"/>
      <c r="K35" s="7"/>
    </row>
    <row r="36" spans="2:11" ht="15.75">
      <c r="B36" s="131" t="s">
        <v>132</v>
      </c>
      <c r="C36" s="131"/>
      <c r="D36" s="10"/>
      <c r="E36" s="13">
        <f>SUM(E19:E33)</f>
        <v>-60557</v>
      </c>
      <c r="F36" s="8"/>
      <c r="G36" s="13">
        <f>SUM(G19:G33)</f>
        <v>-414351</v>
      </c>
      <c r="H36" s="8"/>
      <c r="I36" s="13">
        <f>SUM(I19:I33)</f>
        <v>-124514</v>
      </c>
      <c r="J36" s="8"/>
      <c r="K36" s="13">
        <f>SUM(K19:K33)</f>
        <v>-488622</v>
      </c>
    </row>
    <row r="37" spans="2:11" ht="15.75">
      <c r="B37" s="131" t="s">
        <v>57</v>
      </c>
      <c r="C37" s="131"/>
      <c r="D37" s="9"/>
      <c r="E37" s="12">
        <v>364</v>
      </c>
      <c r="F37" s="8"/>
      <c r="G37" s="7">
        <v>-1551</v>
      </c>
      <c r="H37" s="8"/>
      <c r="I37" s="12">
        <v>364</v>
      </c>
      <c r="J37" s="8"/>
      <c r="K37" s="12">
        <f>-3321</f>
        <v>-3321</v>
      </c>
    </row>
    <row r="38" spans="2:11" ht="3.75" customHeight="1">
      <c r="B38" s="131"/>
      <c r="C38" s="131"/>
      <c r="D38" s="9"/>
      <c r="E38" s="15"/>
      <c r="F38" s="8"/>
      <c r="G38" s="15"/>
      <c r="H38" s="8"/>
      <c r="I38" s="15"/>
      <c r="J38" s="8"/>
      <c r="K38" s="15"/>
    </row>
    <row r="39" spans="2:11" ht="3.75" customHeight="1">
      <c r="B39" s="131"/>
      <c r="C39" s="131"/>
      <c r="D39" s="9"/>
      <c r="E39" s="7"/>
      <c r="F39" s="8"/>
      <c r="G39" s="7"/>
      <c r="H39" s="8"/>
      <c r="I39" s="7"/>
      <c r="J39" s="8"/>
      <c r="K39" s="7"/>
    </row>
    <row r="40" spans="2:11" ht="15.75">
      <c r="B40" s="131" t="s">
        <v>133</v>
      </c>
      <c r="C40" s="131"/>
      <c r="D40" s="10"/>
      <c r="E40" s="13">
        <f>SUM(E36:E39)</f>
        <v>-60193</v>
      </c>
      <c r="F40" s="8"/>
      <c r="G40" s="13">
        <f>SUM(G36:G39)</f>
        <v>-415902</v>
      </c>
      <c r="H40" s="8"/>
      <c r="I40" s="13">
        <f>SUM(I36:I39)</f>
        <v>-124150</v>
      </c>
      <c r="J40" s="8"/>
      <c r="K40" s="13">
        <f>SUM(K36:K39)</f>
        <v>-491943</v>
      </c>
    </row>
    <row r="41" spans="2:11" ht="15.75">
      <c r="B41" s="131" t="s">
        <v>37</v>
      </c>
      <c r="C41" s="131"/>
      <c r="D41" s="10"/>
      <c r="E41" s="7">
        <v>0</v>
      </c>
      <c r="F41" s="8"/>
      <c r="G41" s="7">
        <v>0</v>
      </c>
      <c r="H41" s="8"/>
      <c r="I41" s="12">
        <v>0</v>
      </c>
      <c r="J41" s="8"/>
      <c r="K41" s="12">
        <v>11</v>
      </c>
    </row>
    <row r="42" spans="2:11" ht="3.75" customHeight="1">
      <c r="B42" s="131"/>
      <c r="C42" s="131"/>
      <c r="D42" s="9"/>
      <c r="E42" s="15"/>
      <c r="F42" s="8"/>
      <c r="G42" s="15"/>
      <c r="H42" s="8"/>
      <c r="I42" s="15"/>
      <c r="J42" s="8"/>
      <c r="K42" s="15"/>
    </row>
    <row r="43" spans="2:11" ht="3.75" customHeight="1">
      <c r="B43" s="131"/>
      <c r="C43" s="131"/>
      <c r="D43" s="9"/>
      <c r="E43" s="7"/>
      <c r="F43" s="8"/>
      <c r="G43" s="7"/>
      <c r="H43" s="8"/>
      <c r="I43" s="7"/>
      <c r="J43" s="8"/>
      <c r="K43" s="7"/>
    </row>
    <row r="44" spans="2:11" ht="15.75">
      <c r="B44" s="131" t="s">
        <v>145</v>
      </c>
      <c r="C44" s="131"/>
      <c r="D44" s="10"/>
      <c r="E44" s="13">
        <f>SUM(E40:E43)</f>
        <v>-60193</v>
      </c>
      <c r="F44" s="8"/>
      <c r="G44" s="13">
        <f>SUM(G40:G43)</f>
        <v>-415902</v>
      </c>
      <c r="H44" s="8"/>
      <c r="I44" s="13">
        <f>SUM(I40:I43)</f>
        <v>-124150</v>
      </c>
      <c r="J44" s="8"/>
      <c r="K44" s="13">
        <f>SUM(K40:K43)</f>
        <v>-491932</v>
      </c>
    </row>
    <row r="45" spans="2:11" ht="3.75" customHeight="1" thickBot="1">
      <c r="B45" s="131"/>
      <c r="C45" s="131"/>
      <c r="D45" s="10"/>
      <c r="E45" s="133"/>
      <c r="F45" s="8"/>
      <c r="G45" s="133"/>
      <c r="H45" s="8"/>
      <c r="I45" s="134"/>
      <c r="J45" s="8"/>
      <c r="K45" s="134"/>
    </row>
    <row r="46" spans="2:11" ht="16.5" thickTop="1">
      <c r="B46" s="131"/>
      <c r="C46" s="131"/>
      <c r="D46" s="10"/>
      <c r="E46" s="135"/>
      <c r="F46" s="9"/>
      <c r="G46" s="135"/>
      <c r="H46" s="9"/>
      <c r="I46" s="135"/>
      <c r="J46" s="9"/>
      <c r="K46" s="135"/>
    </row>
    <row r="47" spans="2:11" ht="15.75">
      <c r="B47" s="116" t="s">
        <v>134</v>
      </c>
      <c r="C47" s="116"/>
      <c r="D47" s="9"/>
      <c r="E47" s="130"/>
      <c r="F47" s="9"/>
      <c r="G47" s="130"/>
      <c r="H47" s="9"/>
      <c r="I47" s="135"/>
      <c r="J47" s="9"/>
      <c r="K47" s="135"/>
    </row>
    <row r="48" spans="2:11" ht="15.75">
      <c r="B48" s="131" t="s">
        <v>58</v>
      </c>
      <c r="C48" s="131"/>
      <c r="D48" s="9"/>
      <c r="E48" s="16">
        <f>-17.82</f>
        <v>-17.82</v>
      </c>
      <c r="F48" s="16"/>
      <c r="G48" s="16">
        <f>-123.1</f>
        <v>-123.1</v>
      </c>
      <c r="H48" s="16"/>
      <c r="I48" s="16">
        <f>-36.75</f>
        <v>-36.75</v>
      </c>
      <c r="J48" s="16"/>
      <c r="K48" s="16">
        <f>-145.6</f>
        <v>-145.6</v>
      </c>
    </row>
    <row r="49" spans="5:11" ht="3.75" customHeight="1" thickBot="1">
      <c r="E49" s="137"/>
      <c r="F49" s="9"/>
      <c r="G49" s="137"/>
      <c r="H49" s="9"/>
      <c r="I49" s="138"/>
      <c r="J49" s="9"/>
      <c r="K49" s="138"/>
    </row>
    <row r="50" spans="2:11" ht="16.5" thickTop="1">
      <c r="B50" s="139"/>
      <c r="C50" s="139"/>
      <c r="D50" s="10"/>
      <c r="E50" s="141"/>
      <c r="F50" s="140"/>
      <c r="G50" s="136"/>
      <c r="H50" s="140"/>
      <c r="I50" s="141"/>
      <c r="J50" s="140"/>
      <c r="K50" s="141"/>
    </row>
    <row r="51" spans="2:11" ht="15.75">
      <c r="B51" s="139"/>
      <c r="C51" s="139"/>
      <c r="D51" s="10"/>
      <c r="E51" s="142"/>
      <c r="F51" s="140"/>
      <c r="G51" s="142"/>
      <c r="H51" s="140"/>
      <c r="I51" s="142"/>
      <c r="J51" s="140"/>
      <c r="K51" s="142"/>
    </row>
    <row r="52" spans="2:11" ht="15.75">
      <c r="B52" s="143" t="s">
        <v>136</v>
      </c>
      <c r="C52" s="144"/>
      <c r="D52" s="34"/>
      <c r="E52" s="131"/>
      <c r="F52" s="140"/>
      <c r="G52" s="131"/>
      <c r="H52" s="140"/>
      <c r="I52" s="131"/>
      <c r="J52" s="140"/>
      <c r="K52" s="131"/>
    </row>
    <row r="53" spans="2:11" ht="15.75">
      <c r="B53" s="145" t="s">
        <v>137</v>
      </c>
      <c r="C53" s="146"/>
      <c r="D53" s="34"/>
      <c r="E53" s="136"/>
      <c r="F53" s="140"/>
      <c r="G53" s="136"/>
      <c r="H53" s="140"/>
      <c r="I53" s="136"/>
      <c r="J53" s="140"/>
      <c r="K53" s="136"/>
    </row>
    <row r="54" spans="2:11" ht="15.75">
      <c r="B54" s="131"/>
      <c r="C54" s="131"/>
      <c r="D54" s="10"/>
      <c r="E54" s="147"/>
      <c r="F54" s="140"/>
      <c r="G54" s="147"/>
      <c r="H54" s="140"/>
      <c r="I54" s="147"/>
      <c r="J54" s="140"/>
      <c r="K54" s="147"/>
    </row>
    <row r="55" spans="2:11" ht="15.75">
      <c r="B55" s="131"/>
      <c r="C55" s="131"/>
      <c r="D55" s="10"/>
      <c r="E55" s="141"/>
      <c r="F55" s="140"/>
      <c r="G55" s="147"/>
      <c r="H55" s="140"/>
      <c r="I55" s="141"/>
      <c r="J55" s="140"/>
      <c r="K55" s="147"/>
    </row>
    <row r="56" spans="2:11" ht="15.75">
      <c r="B56" s="131"/>
      <c r="C56" s="131"/>
      <c r="D56" s="10"/>
      <c r="E56" s="141"/>
      <c r="F56" s="140"/>
      <c r="G56" s="147"/>
      <c r="H56" s="140"/>
      <c r="I56" s="141"/>
      <c r="J56" s="140"/>
      <c r="K56" s="147"/>
    </row>
    <row r="57" spans="2:11" ht="15.75">
      <c r="B57" s="131"/>
      <c r="C57" s="131"/>
      <c r="D57" s="10"/>
      <c r="E57" s="141"/>
      <c r="F57" s="140"/>
      <c r="G57" s="147"/>
      <c r="H57" s="140"/>
      <c r="I57" s="141"/>
      <c r="J57" s="140"/>
      <c r="K57" s="147"/>
    </row>
    <row r="58" spans="2:11" ht="15.75">
      <c r="B58" s="131"/>
      <c r="C58" s="131"/>
      <c r="D58" s="10"/>
      <c r="E58" s="141"/>
      <c r="F58" s="140"/>
      <c r="G58" s="141"/>
      <c r="H58" s="140"/>
      <c r="I58" s="141"/>
      <c r="J58" s="140"/>
      <c r="K58" s="141"/>
    </row>
    <row r="59" spans="2:11" ht="15.75">
      <c r="B59" s="131"/>
      <c r="C59" s="131"/>
      <c r="D59" s="10"/>
      <c r="E59" s="141"/>
      <c r="F59" s="140"/>
      <c r="G59" s="141"/>
      <c r="H59" s="140"/>
      <c r="I59" s="141"/>
      <c r="J59" s="140"/>
      <c r="K59" s="141"/>
    </row>
    <row r="60" spans="2:11" ht="15.75">
      <c r="B60" s="112"/>
      <c r="C60" s="112"/>
      <c r="D60" s="10"/>
      <c r="E60" s="147"/>
      <c r="F60" s="140"/>
      <c r="G60" s="147"/>
      <c r="H60" s="140"/>
      <c r="I60" s="136"/>
      <c r="J60" s="140"/>
      <c r="K60" s="147"/>
    </row>
    <row r="61" spans="2:11" ht="15.75">
      <c r="B61" s="148"/>
      <c r="C61" s="148"/>
      <c r="D61" s="10"/>
      <c r="E61" s="136"/>
      <c r="F61" s="140"/>
      <c r="G61" s="136"/>
      <c r="H61" s="140"/>
      <c r="I61" s="136"/>
      <c r="J61" s="140"/>
      <c r="K61" s="136"/>
    </row>
    <row r="62" spans="2:11" ht="15.75">
      <c r="B62" s="131"/>
      <c r="C62" s="131"/>
      <c r="D62" s="10"/>
      <c r="E62" s="131"/>
      <c r="F62" s="140"/>
      <c r="G62" s="131"/>
      <c r="H62" s="140"/>
      <c r="I62" s="142"/>
      <c r="J62" s="140"/>
      <c r="K62" s="131"/>
    </row>
    <row r="63" spans="2:11" ht="15.75">
      <c r="B63" s="131"/>
      <c r="C63" s="131"/>
      <c r="D63" s="10"/>
      <c r="E63" s="147"/>
      <c r="F63" s="140"/>
      <c r="G63" s="147"/>
      <c r="H63" s="140"/>
      <c r="I63" s="147"/>
      <c r="J63" s="140"/>
      <c r="K63" s="147"/>
    </row>
    <row r="64" spans="2:11" ht="15.75">
      <c r="B64" s="131"/>
      <c r="C64" s="131"/>
      <c r="D64" s="10"/>
      <c r="E64" s="136"/>
      <c r="F64" s="140"/>
      <c r="G64" s="136"/>
      <c r="H64" s="140"/>
      <c r="I64" s="136"/>
      <c r="J64" s="140"/>
      <c r="K64" s="136"/>
    </row>
    <row r="65" spans="2:11" ht="15.75">
      <c r="B65" s="131"/>
      <c r="C65" s="131"/>
      <c r="D65" s="10"/>
      <c r="E65" s="140"/>
      <c r="F65" s="140"/>
      <c r="G65" s="140"/>
      <c r="H65" s="140"/>
      <c r="I65" s="140"/>
      <c r="J65" s="140"/>
      <c r="K65" s="140"/>
    </row>
    <row r="66" spans="2:11" ht="15.75">
      <c r="B66" s="131"/>
      <c r="C66" s="131"/>
      <c r="D66" s="10"/>
      <c r="E66" s="147"/>
      <c r="F66" s="140"/>
      <c r="G66" s="140"/>
      <c r="H66" s="140"/>
      <c r="I66" s="147"/>
      <c r="J66" s="140"/>
      <c r="K66" s="140"/>
    </row>
    <row r="67" spans="2:11" ht="15.75">
      <c r="B67" s="131"/>
      <c r="C67" s="131"/>
      <c r="D67" s="10"/>
      <c r="E67" s="147"/>
      <c r="F67" s="140"/>
      <c r="G67" s="140"/>
      <c r="H67" s="140"/>
      <c r="I67" s="147"/>
      <c r="J67" s="140"/>
      <c r="K67" s="140"/>
    </row>
    <row r="68" spans="2:11" ht="15.75">
      <c r="B68" s="131"/>
      <c r="C68" s="131"/>
      <c r="D68" s="10"/>
      <c r="E68" s="147"/>
      <c r="F68" s="140"/>
      <c r="G68" s="140"/>
      <c r="H68" s="140"/>
      <c r="I68" s="147"/>
      <c r="J68" s="140"/>
      <c r="K68" s="140"/>
    </row>
    <row r="69" spans="2:11" ht="15.75">
      <c r="B69" s="131"/>
      <c r="C69" s="131"/>
      <c r="D69" s="10"/>
      <c r="E69" s="147"/>
      <c r="F69" s="140"/>
      <c r="G69" s="140"/>
      <c r="H69" s="140"/>
      <c r="I69" s="147"/>
      <c r="J69" s="140"/>
      <c r="K69" s="140"/>
    </row>
    <row r="70" spans="4:11" ht="15.75">
      <c r="D70" s="149"/>
      <c r="E70" s="147"/>
      <c r="F70" s="140"/>
      <c r="G70" s="140"/>
      <c r="H70" s="140"/>
      <c r="I70" s="147"/>
      <c r="J70" s="140"/>
      <c r="K70" s="140"/>
    </row>
    <row r="71" spans="4:11" ht="15.75">
      <c r="D71" s="149"/>
      <c r="E71" s="147"/>
      <c r="F71" s="140"/>
      <c r="G71" s="140"/>
      <c r="H71" s="140"/>
      <c r="I71" s="147"/>
      <c r="J71" s="140"/>
      <c r="K71" s="140"/>
    </row>
  </sheetData>
  <printOptions/>
  <pageMargins left="0.5" right="0" top="0.75" bottom="0" header="0.5" footer="0.22"/>
  <pageSetup firstPageNumber="1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21"/>
  <sheetViews>
    <sheetView view="pageBreakPreview" zoomScaleSheetLayoutView="100" workbookViewId="0" topLeftCell="A107">
      <selection activeCell="J15" sqref="J15"/>
    </sheetView>
  </sheetViews>
  <sheetFormatPr defaultColWidth="9.140625" defaultRowHeight="12.75"/>
  <cols>
    <col min="1" max="1" width="2.28125" style="35" customWidth="1"/>
    <col min="2" max="2" width="1.8515625" style="35" customWidth="1"/>
    <col min="3" max="5" width="10.8515625" style="35" customWidth="1"/>
    <col min="6" max="6" width="1.28515625" style="35" customWidth="1"/>
    <col min="7" max="7" width="18.7109375" style="40" customWidth="1"/>
    <col min="8" max="8" width="5.7109375" style="40" customWidth="1"/>
    <col min="9" max="9" width="18.7109375" style="40" customWidth="1"/>
    <col min="10" max="10" width="1.421875" style="40" customWidth="1"/>
    <col min="11" max="11" width="3.140625" style="35" customWidth="1"/>
    <col min="12" max="16384" width="6.7109375" style="35" customWidth="1"/>
  </cols>
  <sheetData>
    <row r="1" spans="5:11" ht="15.75">
      <c r="E1" s="36"/>
      <c r="F1" s="36"/>
      <c r="G1" s="37"/>
      <c r="H1" s="37"/>
      <c r="I1" s="37"/>
      <c r="J1" s="37"/>
      <c r="K1" s="38"/>
    </row>
    <row r="2" spans="5:11" ht="15.75">
      <c r="E2" s="36"/>
      <c r="F2" s="39" t="s">
        <v>0</v>
      </c>
      <c r="H2" s="39"/>
      <c r="I2" s="39"/>
      <c r="J2" s="37"/>
      <c r="K2" s="38"/>
    </row>
    <row r="3" spans="5:11" ht="15.75">
      <c r="E3" s="36"/>
      <c r="F3" s="41" t="s">
        <v>1</v>
      </c>
      <c r="H3" s="39"/>
      <c r="I3" s="42"/>
      <c r="J3" s="37"/>
      <c r="K3" s="38"/>
    </row>
    <row r="4" spans="5:11" ht="15.75">
      <c r="E4" s="36"/>
      <c r="F4" s="43" t="s">
        <v>2</v>
      </c>
      <c r="H4" s="44"/>
      <c r="I4" s="45"/>
      <c r="J4" s="37"/>
      <c r="K4" s="38"/>
    </row>
    <row r="5" spans="5:11" ht="15.75">
      <c r="E5" s="36"/>
      <c r="F5" s="36"/>
      <c r="G5" s="37"/>
      <c r="H5" s="37"/>
      <c r="I5" s="37"/>
      <c r="J5" s="37"/>
      <c r="K5" s="38"/>
    </row>
    <row r="6" spans="5:11" ht="15.75">
      <c r="E6" s="36"/>
      <c r="F6" s="36"/>
      <c r="G6" s="37"/>
      <c r="H6" s="37"/>
      <c r="I6" s="37"/>
      <c r="J6" s="37"/>
      <c r="K6" s="38"/>
    </row>
    <row r="7" spans="2:11" s="46" customFormat="1" ht="15" customHeight="1">
      <c r="B7" s="46" t="s">
        <v>125</v>
      </c>
      <c r="E7" s="47"/>
      <c r="F7" s="47"/>
      <c r="G7" s="48"/>
      <c r="H7" s="48"/>
      <c r="I7" s="48"/>
      <c r="J7" s="48"/>
      <c r="K7" s="49"/>
    </row>
    <row r="8" spans="5:11" s="46" customFormat="1" ht="15.75">
      <c r="E8" s="47"/>
      <c r="F8" s="47"/>
      <c r="G8" s="50" t="s">
        <v>118</v>
      </c>
      <c r="I8" s="51" t="s">
        <v>118</v>
      </c>
      <c r="K8" s="49"/>
    </row>
    <row r="9" spans="7:11" ht="16.5" customHeight="1">
      <c r="G9" s="52" t="s">
        <v>148</v>
      </c>
      <c r="H9" s="53"/>
      <c r="I9" s="52" t="s">
        <v>128</v>
      </c>
      <c r="J9" s="53"/>
      <c r="K9" s="38"/>
    </row>
    <row r="10" spans="5:11" s="39" customFormat="1" ht="18" customHeight="1">
      <c r="E10" s="54"/>
      <c r="F10" s="47"/>
      <c r="G10" s="55" t="s">
        <v>119</v>
      </c>
      <c r="H10" s="56"/>
      <c r="I10" s="55" t="s">
        <v>119</v>
      </c>
      <c r="J10" s="56"/>
      <c r="K10" s="54"/>
    </row>
    <row r="11" spans="5:11" s="39" customFormat="1" ht="15.75">
      <c r="E11" s="57"/>
      <c r="F11" s="47"/>
      <c r="G11" s="58"/>
      <c r="H11" s="59"/>
      <c r="I11" s="58"/>
      <c r="J11" s="60"/>
      <c r="K11" s="54"/>
    </row>
    <row r="12" spans="2:11" s="46" customFormat="1" ht="15.75">
      <c r="B12" s="46" t="s">
        <v>4</v>
      </c>
      <c r="E12" s="39"/>
      <c r="F12" s="39"/>
      <c r="G12" s="61"/>
      <c r="H12" s="48"/>
      <c r="I12" s="61"/>
      <c r="J12" s="48"/>
      <c r="K12" s="49"/>
    </row>
    <row r="13" spans="2:11" ht="15.75">
      <c r="B13" s="62" t="s">
        <v>5</v>
      </c>
      <c r="C13" s="62"/>
      <c r="D13" s="62"/>
      <c r="E13" s="63"/>
      <c r="F13" s="64"/>
      <c r="G13" s="65">
        <f>159373</f>
        <v>159373</v>
      </c>
      <c r="H13" s="66"/>
      <c r="I13" s="66">
        <v>201650</v>
      </c>
      <c r="J13" s="37"/>
      <c r="K13" s="38"/>
    </row>
    <row r="14" spans="2:11" ht="15.75">
      <c r="B14" s="35" t="s">
        <v>6</v>
      </c>
      <c r="E14" s="63"/>
      <c r="F14" s="64"/>
      <c r="G14" s="65">
        <f>268516-101</f>
        <v>268415</v>
      </c>
      <c r="H14" s="66"/>
      <c r="I14" s="66">
        <v>454524</v>
      </c>
      <c r="J14" s="37"/>
      <c r="K14" s="38"/>
    </row>
    <row r="15" spans="2:11" ht="15.75">
      <c r="B15" s="35" t="s">
        <v>8</v>
      </c>
      <c r="E15" s="63"/>
      <c r="F15" s="64"/>
      <c r="G15" s="67">
        <v>500</v>
      </c>
      <c r="H15" s="66"/>
      <c r="I15" s="67">
        <v>500</v>
      </c>
      <c r="J15" s="37"/>
      <c r="K15" s="38"/>
    </row>
    <row r="16" spans="2:11" ht="15.75">
      <c r="B16" s="35" t="s">
        <v>9</v>
      </c>
      <c r="E16" s="63"/>
      <c r="F16" s="64"/>
      <c r="G16" s="67">
        <v>0</v>
      </c>
      <c r="H16" s="66"/>
      <c r="I16" s="67" t="s">
        <v>7</v>
      </c>
      <c r="J16" s="37"/>
      <c r="K16" s="38"/>
    </row>
    <row r="17" spans="2:11" ht="15.75">
      <c r="B17" s="35" t="s">
        <v>10</v>
      </c>
      <c r="E17" s="63"/>
      <c r="F17" s="64"/>
      <c r="G17" s="67"/>
      <c r="H17" s="66"/>
      <c r="I17" s="66"/>
      <c r="J17" s="37"/>
      <c r="K17" s="38"/>
    </row>
    <row r="18" spans="2:11" ht="15.75">
      <c r="B18" s="35" t="s">
        <v>11</v>
      </c>
      <c r="E18" s="63"/>
      <c r="F18" s="64"/>
      <c r="G18" s="65">
        <f>1294174</f>
        <v>1294174</v>
      </c>
      <c r="H18" s="66"/>
      <c r="I18" s="66">
        <f>1527395+35443</f>
        <v>1562838</v>
      </c>
      <c r="J18" s="37"/>
      <c r="K18" s="38"/>
    </row>
    <row r="19" spans="2:11" ht="15.75">
      <c r="B19" s="35" t="s">
        <v>12</v>
      </c>
      <c r="E19" s="63"/>
      <c r="F19" s="64"/>
      <c r="G19" s="65"/>
      <c r="H19" s="66"/>
      <c r="I19" s="65"/>
      <c r="J19" s="37"/>
      <c r="K19" s="38"/>
    </row>
    <row r="20" spans="5:11" ht="3.75" customHeight="1">
      <c r="E20" s="63"/>
      <c r="F20" s="64"/>
      <c r="G20" s="68"/>
      <c r="H20" s="66"/>
      <c r="I20" s="68"/>
      <c r="J20" s="37"/>
      <c r="K20" s="38"/>
    </row>
    <row r="21" spans="3:11" ht="15.75">
      <c r="C21" s="33" t="s">
        <v>14</v>
      </c>
      <c r="E21" s="63"/>
      <c r="F21" s="69"/>
      <c r="G21" s="18">
        <f>7134</f>
        <v>7134</v>
      </c>
      <c r="H21" s="70"/>
      <c r="I21" s="71">
        <v>88259</v>
      </c>
      <c r="J21" s="72"/>
      <c r="K21" s="38"/>
    </row>
    <row r="22" spans="3:11" ht="15.75">
      <c r="C22" s="33" t="s">
        <v>15</v>
      </c>
      <c r="E22" s="63"/>
      <c r="F22" s="69" t="s">
        <v>13</v>
      </c>
      <c r="G22" s="71"/>
      <c r="H22" s="70"/>
      <c r="I22" s="18"/>
      <c r="J22" s="35"/>
      <c r="K22" s="38"/>
    </row>
    <row r="23" spans="3:11" ht="15.75">
      <c r="C23" s="33" t="s">
        <v>16</v>
      </c>
      <c r="E23" s="63"/>
      <c r="F23" s="69"/>
      <c r="G23" s="71">
        <f>32587</f>
        <v>32587</v>
      </c>
      <c r="H23" s="70"/>
      <c r="I23" s="71">
        <v>39735</v>
      </c>
      <c r="J23" s="72"/>
      <c r="K23" s="38"/>
    </row>
    <row r="24" spans="3:11" ht="15.75">
      <c r="C24" s="33" t="s">
        <v>10</v>
      </c>
      <c r="E24" s="63"/>
      <c r="F24" s="69"/>
      <c r="G24" s="18"/>
      <c r="H24" s="70"/>
      <c r="I24" s="73"/>
      <c r="J24" s="72"/>
      <c r="K24" s="38"/>
    </row>
    <row r="25" spans="3:11" ht="15.75">
      <c r="C25" s="33" t="s">
        <v>17</v>
      </c>
      <c r="E25" s="63"/>
      <c r="F25" s="69" t="s">
        <v>13</v>
      </c>
      <c r="G25" s="18">
        <f>2046592</f>
        <v>2046592</v>
      </c>
      <c r="H25" s="70"/>
      <c r="I25" s="73">
        <f>1591581+105917</f>
        <v>1697498</v>
      </c>
      <c r="J25" s="72"/>
      <c r="K25" s="38"/>
    </row>
    <row r="26" spans="3:11" ht="15.75">
      <c r="C26" s="74" t="s">
        <v>18</v>
      </c>
      <c r="D26" s="62"/>
      <c r="E26" s="63"/>
      <c r="G26" s="18">
        <f>7604</f>
        <v>7604</v>
      </c>
      <c r="H26" s="70"/>
      <c r="I26" s="71">
        <v>17039</v>
      </c>
      <c r="J26" s="72"/>
      <c r="K26" s="38"/>
    </row>
    <row r="27" spans="3:11" ht="15.75">
      <c r="C27" s="33" t="s">
        <v>19</v>
      </c>
      <c r="E27" s="63"/>
      <c r="F27" s="69"/>
      <c r="G27" s="18">
        <f>96505+101</f>
        <v>96606</v>
      </c>
      <c r="H27" s="70"/>
      <c r="I27" s="73">
        <v>21553</v>
      </c>
      <c r="J27" s="72"/>
      <c r="K27" s="38"/>
    </row>
    <row r="28" spans="3:11" ht="15.75">
      <c r="C28" s="33" t="s">
        <v>20</v>
      </c>
      <c r="E28" s="63"/>
      <c r="F28" s="69"/>
      <c r="G28" s="18">
        <f>81059+18644</f>
        <v>99703</v>
      </c>
      <c r="H28" s="70"/>
      <c r="I28" s="71">
        <v>19814</v>
      </c>
      <c r="J28" s="72"/>
      <c r="K28" s="38"/>
    </row>
    <row r="29" spans="5:11" s="64" customFormat="1" ht="3.75" customHeight="1">
      <c r="E29" s="63"/>
      <c r="G29" s="75"/>
      <c r="H29" s="76"/>
      <c r="I29" s="77"/>
      <c r="K29" s="69"/>
    </row>
    <row r="30" spans="5:11" ht="3.75" customHeight="1">
      <c r="E30" s="63"/>
      <c r="F30" s="69"/>
      <c r="G30" s="78"/>
      <c r="H30" s="79"/>
      <c r="I30" s="18"/>
      <c r="J30" s="80"/>
      <c r="K30" s="38"/>
    </row>
    <row r="31" spans="5:11" ht="15.75">
      <c r="E31" s="63"/>
      <c r="F31" s="64"/>
      <c r="G31" s="81">
        <f>SUM(G21:G30)</f>
        <v>2290226</v>
      </c>
      <c r="H31" s="73"/>
      <c r="I31" s="18">
        <f>SUM(I21:I30)</f>
        <v>1883898</v>
      </c>
      <c r="J31" s="80"/>
      <c r="K31" s="38"/>
    </row>
    <row r="32" spans="5:11" ht="3.75" customHeight="1">
      <c r="E32" s="63"/>
      <c r="F32" s="64"/>
      <c r="G32" s="82"/>
      <c r="H32" s="79"/>
      <c r="I32" s="83"/>
      <c r="J32" s="80"/>
      <c r="K32" s="38"/>
    </row>
    <row r="33" spans="2:11" ht="15.75">
      <c r="B33" s="35" t="s">
        <v>21</v>
      </c>
      <c r="E33" s="63"/>
      <c r="F33" s="64"/>
      <c r="G33" s="84"/>
      <c r="H33" s="73"/>
      <c r="I33" s="68"/>
      <c r="J33" s="80"/>
      <c r="K33" s="38"/>
    </row>
    <row r="34" spans="3:11" ht="15.75">
      <c r="C34" s="33" t="s">
        <v>22</v>
      </c>
      <c r="E34" s="63"/>
      <c r="F34" s="64"/>
      <c r="G34" s="84">
        <f>1270457</f>
        <v>1270457</v>
      </c>
      <c r="H34" s="73"/>
      <c r="I34" s="18">
        <v>1113776</v>
      </c>
      <c r="J34" s="80"/>
      <c r="K34" s="38"/>
    </row>
    <row r="35" spans="3:11" ht="15.75">
      <c r="C35" s="33" t="s">
        <v>23</v>
      </c>
      <c r="E35" s="63"/>
      <c r="F35" s="64"/>
      <c r="G35" s="84"/>
      <c r="H35" s="73"/>
      <c r="I35" s="18"/>
      <c r="J35" s="80"/>
      <c r="K35" s="38"/>
    </row>
    <row r="36" spans="3:11" ht="15.75">
      <c r="C36" s="33" t="s">
        <v>24</v>
      </c>
      <c r="E36" s="63"/>
      <c r="F36" s="64"/>
      <c r="G36" s="85">
        <f>1103670</f>
        <v>1103670</v>
      </c>
      <c r="H36" s="73"/>
      <c r="I36" s="73">
        <v>1250315</v>
      </c>
      <c r="J36" s="80"/>
      <c r="K36" s="38"/>
    </row>
    <row r="37" spans="3:11" ht="15.75">
      <c r="C37" s="33" t="s">
        <v>25</v>
      </c>
      <c r="E37" s="63"/>
      <c r="F37" s="64"/>
      <c r="G37" s="71">
        <v>0</v>
      </c>
      <c r="H37" s="73"/>
      <c r="I37" s="71" t="s">
        <v>7</v>
      </c>
      <c r="J37" s="80"/>
      <c r="K37" s="38"/>
    </row>
    <row r="38" spans="3:11" ht="15.75">
      <c r="C38" s="33" t="s">
        <v>26</v>
      </c>
      <c r="D38" s="17"/>
      <c r="E38" s="63"/>
      <c r="F38" s="17"/>
      <c r="G38" s="71">
        <f>2439</f>
        <v>2439</v>
      </c>
      <c r="H38" s="18"/>
      <c r="I38" s="71">
        <v>2604</v>
      </c>
      <c r="J38" s="31"/>
      <c r="K38" s="38"/>
    </row>
    <row r="39" spans="3:11" ht="15.75">
      <c r="C39" s="33" t="s">
        <v>27</v>
      </c>
      <c r="E39" s="63"/>
      <c r="F39" s="64"/>
      <c r="G39" s="73">
        <f>15052</f>
        <v>15052</v>
      </c>
      <c r="H39" s="73"/>
      <c r="I39" s="73">
        <v>21425</v>
      </c>
      <c r="J39" s="80"/>
      <c r="K39" s="38"/>
    </row>
    <row r="40" spans="3:11" ht="15.75">
      <c r="C40" s="33" t="s">
        <v>28</v>
      </c>
      <c r="E40" s="63"/>
      <c r="F40" s="64"/>
      <c r="G40" s="71">
        <f>8600</f>
        <v>8600</v>
      </c>
      <c r="H40" s="73"/>
      <c r="I40" s="71">
        <v>6000</v>
      </c>
      <c r="J40" s="80"/>
      <c r="K40" s="38"/>
    </row>
    <row r="41" spans="3:11" ht="15.75">
      <c r="C41" s="33" t="s">
        <v>29</v>
      </c>
      <c r="E41" s="86"/>
      <c r="F41" s="64"/>
      <c r="G41" s="73">
        <f>73673</f>
        <v>73673</v>
      </c>
      <c r="H41" s="73"/>
      <c r="I41" s="71">
        <f>52957</f>
        <v>52957</v>
      </c>
      <c r="J41" s="80"/>
      <c r="K41" s="38"/>
    </row>
    <row r="42" spans="3:11" ht="15.75">
      <c r="C42" s="33" t="s">
        <v>30</v>
      </c>
      <c r="E42" s="63"/>
      <c r="F42" s="64"/>
      <c r="G42" s="18">
        <f>189689+49550</f>
        <v>239239</v>
      </c>
      <c r="H42" s="73"/>
      <c r="I42" s="73">
        <f>31849+141360</f>
        <v>173209</v>
      </c>
      <c r="J42" s="80"/>
      <c r="K42" s="38"/>
    </row>
    <row r="43" spans="3:11" ht="15.75">
      <c r="C43" s="33" t="s">
        <v>31</v>
      </c>
      <c r="E43" s="63"/>
      <c r="F43" s="64"/>
      <c r="G43" s="18">
        <v>18633</v>
      </c>
      <c r="H43" s="73"/>
      <c r="I43" s="73">
        <v>19152</v>
      </c>
      <c r="J43" s="80"/>
      <c r="K43" s="38"/>
    </row>
    <row r="44" spans="5:11" ht="3.75" customHeight="1">
      <c r="E44" s="63"/>
      <c r="F44" s="64"/>
      <c r="G44" s="87"/>
      <c r="H44" s="73"/>
      <c r="I44" s="88"/>
      <c r="J44" s="80"/>
      <c r="K44" s="38"/>
    </row>
    <row r="45" spans="5:11" ht="3.75" customHeight="1">
      <c r="E45" s="63"/>
      <c r="F45" s="64"/>
      <c r="G45" s="68"/>
      <c r="H45" s="73"/>
      <c r="I45" s="68"/>
      <c r="J45" s="80"/>
      <c r="K45" s="38"/>
    </row>
    <row r="46" spans="5:11" ht="15.75">
      <c r="E46" s="63"/>
      <c r="F46" s="64"/>
      <c r="G46" s="18">
        <f>SUM(G34:G43)</f>
        <v>2731763</v>
      </c>
      <c r="H46" s="73"/>
      <c r="I46" s="18">
        <f>SUM(I34:I43)</f>
        <v>2639438</v>
      </c>
      <c r="J46" s="80"/>
      <c r="K46" s="38"/>
    </row>
    <row r="47" spans="5:11" ht="3.75" customHeight="1">
      <c r="E47" s="63"/>
      <c r="F47" s="64"/>
      <c r="G47" s="82"/>
      <c r="H47" s="70"/>
      <c r="I47" s="82"/>
      <c r="J47" s="72"/>
      <c r="K47" s="38"/>
    </row>
    <row r="48" spans="5:11" ht="3.75" customHeight="1">
      <c r="E48" s="63"/>
      <c r="F48" s="64"/>
      <c r="G48" s="65"/>
      <c r="H48" s="66"/>
      <c r="I48" s="65"/>
      <c r="J48" s="37"/>
      <c r="K48" s="38"/>
    </row>
    <row r="49" spans="2:11" ht="15.75">
      <c r="B49" s="35" t="s">
        <v>32</v>
      </c>
      <c r="E49" s="63"/>
      <c r="F49" s="64"/>
      <c r="G49" s="12">
        <f>SUM(G31-G46)</f>
        <v>-441537</v>
      </c>
      <c r="H49" s="66"/>
      <c r="I49" s="89">
        <f>SUM(I31-I46)</f>
        <v>-755540</v>
      </c>
      <c r="J49" s="37"/>
      <c r="K49" s="38"/>
    </row>
    <row r="50" spans="5:11" ht="3.75" customHeight="1">
      <c r="E50" s="63"/>
      <c r="F50" s="64"/>
      <c r="G50" s="89"/>
      <c r="H50" s="66"/>
      <c r="I50" s="89"/>
      <c r="J50" s="37"/>
      <c r="K50" s="38"/>
    </row>
    <row r="51" spans="5:11" ht="4.5" customHeight="1">
      <c r="E51" s="63"/>
      <c r="F51" s="64"/>
      <c r="G51" s="90"/>
      <c r="H51" s="66"/>
      <c r="I51" s="90"/>
      <c r="J51" s="37"/>
      <c r="K51" s="38"/>
    </row>
    <row r="52" spans="5:11" s="46" customFormat="1" ht="15.75">
      <c r="E52" s="91"/>
      <c r="F52" s="39"/>
      <c r="G52" s="92">
        <f>SUM(G13:G18)+(G49)</f>
        <v>1280925</v>
      </c>
      <c r="H52" s="93"/>
      <c r="I52" s="94">
        <f>SUM(I13:I18)+(I49)</f>
        <v>1463972</v>
      </c>
      <c r="J52" s="95"/>
      <c r="K52" s="49"/>
    </row>
    <row r="53" spans="7:11" s="17" customFormat="1" ht="3.75" customHeight="1" thickBot="1">
      <c r="G53" s="96"/>
      <c r="H53" s="65"/>
      <c r="I53" s="96"/>
      <c r="K53" s="97"/>
    </row>
    <row r="54" spans="5:11" s="46" customFormat="1" ht="12.75" customHeight="1" thickTop="1">
      <c r="E54" s="39"/>
      <c r="F54" s="39"/>
      <c r="G54" s="61"/>
      <c r="H54" s="95"/>
      <c r="I54" s="61"/>
      <c r="J54" s="95"/>
      <c r="K54" s="49"/>
    </row>
    <row r="55" spans="5:11" s="46" customFormat="1" ht="12.75" customHeight="1">
      <c r="E55" s="39"/>
      <c r="F55" s="39"/>
      <c r="G55" s="61"/>
      <c r="H55" s="95"/>
      <c r="I55" s="61"/>
      <c r="J55" s="95"/>
      <c r="K55" s="49"/>
    </row>
    <row r="56" spans="5:11" s="46" customFormat="1" ht="12.75" customHeight="1">
      <c r="E56" s="39"/>
      <c r="F56" s="39"/>
      <c r="G56" s="61"/>
      <c r="H56" s="95"/>
      <c r="I56" s="61"/>
      <c r="J56" s="95"/>
      <c r="K56" s="49"/>
    </row>
    <row r="57" spans="2:11" s="46" customFormat="1" ht="12.75" customHeight="1">
      <c r="B57" s="46" t="s">
        <v>138</v>
      </c>
      <c r="E57" s="39"/>
      <c r="F57" s="39"/>
      <c r="G57" s="61"/>
      <c r="H57" s="95"/>
      <c r="I57" s="61"/>
      <c r="J57" s="95"/>
      <c r="K57" s="49"/>
    </row>
    <row r="58" spans="2:11" s="46" customFormat="1" ht="12.75" customHeight="1">
      <c r="B58" s="98" t="s">
        <v>139</v>
      </c>
      <c r="E58" s="39"/>
      <c r="F58" s="39"/>
      <c r="G58" s="61"/>
      <c r="H58" s="95"/>
      <c r="I58" s="61"/>
      <c r="J58" s="95"/>
      <c r="K58" s="49"/>
    </row>
    <row r="59" spans="2:11" s="46" customFormat="1" ht="12.75" customHeight="1">
      <c r="B59" s="98"/>
      <c r="E59" s="39"/>
      <c r="F59" s="39"/>
      <c r="G59" s="61"/>
      <c r="H59" s="95"/>
      <c r="I59" s="61"/>
      <c r="J59" s="95"/>
      <c r="K59" s="49"/>
    </row>
    <row r="60" spans="2:11" s="17" customFormat="1" ht="15.75">
      <c r="B60" s="99"/>
      <c r="C60" s="99"/>
      <c r="D60" s="99"/>
      <c r="E60" s="99"/>
      <c r="F60" s="99"/>
      <c r="G60" s="99"/>
      <c r="H60" s="48"/>
      <c r="I60" s="48"/>
      <c r="J60" s="48"/>
      <c r="K60" s="97"/>
    </row>
    <row r="61" spans="5:11" ht="15.75">
      <c r="E61" s="36"/>
      <c r="F61" s="39" t="s">
        <v>0</v>
      </c>
      <c r="H61" s="39"/>
      <c r="I61" s="39"/>
      <c r="J61" s="37"/>
      <c r="K61" s="38"/>
    </row>
    <row r="62" spans="5:11" ht="15.75">
      <c r="E62" s="36"/>
      <c r="F62" s="41" t="s">
        <v>1</v>
      </c>
      <c r="H62" s="39"/>
      <c r="I62" s="42"/>
      <c r="J62" s="37"/>
      <c r="K62" s="38"/>
    </row>
    <row r="63" spans="5:11" ht="15.75">
      <c r="E63" s="36"/>
      <c r="F63" s="43" t="s">
        <v>2</v>
      </c>
      <c r="H63" s="44"/>
      <c r="I63" s="45"/>
      <c r="J63" s="37"/>
      <c r="K63" s="38"/>
    </row>
    <row r="64" spans="5:11" ht="15.75">
      <c r="E64" s="36"/>
      <c r="F64" s="36"/>
      <c r="G64" s="37"/>
      <c r="H64" s="37"/>
      <c r="I64" s="37"/>
      <c r="J64" s="37"/>
      <c r="K64" s="38"/>
    </row>
    <row r="65" spans="5:11" ht="15.75">
      <c r="E65" s="36"/>
      <c r="F65" s="36"/>
      <c r="G65" s="37"/>
      <c r="H65" s="37"/>
      <c r="I65" s="37"/>
      <c r="J65" s="37"/>
      <c r="K65" s="38"/>
    </row>
    <row r="66" spans="2:11" s="46" customFormat="1" ht="15" customHeight="1">
      <c r="B66" s="46" t="s">
        <v>125</v>
      </c>
      <c r="E66" s="47"/>
      <c r="F66" s="47"/>
      <c r="G66" s="48"/>
      <c r="H66" s="48"/>
      <c r="I66" s="48"/>
      <c r="J66" s="48"/>
      <c r="K66" s="49"/>
    </row>
    <row r="67" spans="5:11" s="46" customFormat="1" ht="15.75">
      <c r="E67" s="47"/>
      <c r="F67" s="47"/>
      <c r="G67" s="50" t="s">
        <v>118</v>
      </c>
      <c r="I67" s="51" t="s">
        <v>118</v>
      </c>
      <c r="K67" s="49"/>
    </row>
    <row r="68" spans="7:11" ht="16.5" customHeight="1">
      <c r="G68" s="52" t="s">
        <v>148</v>
      </c>
      <c r="H68" s="53"/>
      <c r="I68" s="52" t="s">
        <v>128</v>
      </c>
      <c r="J68" s="53"/>
      <c r="K68" s="38"/>
    </row>
    <row r="69" spans="5:11" s="39" customFormat="1" ht="18" customHeight="1">
      <c r="E69" s="54"/>
      <c r="F69" s="47"/>
      <c r="G69" s="55" t="s">
        <v>119</v>
      </c>
      <c r="H69" s="56"/>
      <c r="I69" s="55" t="s">
        <v>119</v>
      </c>
      <c r="J69" s="56"/>
      <c r="K69" s="54"/>
    </row>
    <row r="70" spans="2:11" s="17" customFormat="1" ht="15.75">
      <c r="B70" s="100"/>
      <c r="C70" s="100"/>
      <c r="D70" s="100"/>
      <c r="E70" s="100"/>
      <c r="F70" s="100"/>
      <c r="G70" s="100"/>
      <c r="H70" s="100"/>
      <c r="I70" s="100"/>
      <c r="J70" s="100"/>
      <c r="K70" s="97"/>
    </row>
    <row r="71" spans="2:11" s="46" customFormat="1" ht="15.75">
      <c r="B71" s="46" t="s">
        <v>33</v>
      </c>
      <c r="E71" s="47"/>
      <c r="F71" s="47"/>
      <c r="G71" s="17"/>
      <c r="H71" s="48"/>
      <c r="I71" s="17"/>
      <c r="J71" s="48"/>
      <c r="K71" s="49"/>
    </row>
    <row r="72" spans="2:11" ht="15.75">
      <c r="B72" s="35" t="s">
        <v>34</v>
      </c>
      <c r="E72" s="86"/>
      <c r="F72" s="64"/>
      <c r="G72" s="65">
        <v>337856</v>
      </c>
      <c r="H72" s="66"/>
      <c r="I72" s="65">
        <v>337856</v>
      </c>
      <c r="J72" s="37"/>
      <c r="K72" s="38"/>
    </row>
    <row r="73" spans="2:11" ht="15.75">
      <c r="B73" s="35" t="s">
        <v>35</v>
      </c>
      <c r="E73" s="63"/>
      <c r="F73" s="64"/>
      <c r="G73" s="13">
        <f>17838+12486+517077-815508</f>
        <v>-268107</v>
      </c>
      <c r="H73" s="66"/>
      <c r="I73" s="65">
        <v>-143957</v>
      </c>
      <c r="J73" s="37"/>
      <c r="K73" s="38"/>
    </row>
    <row r="74" spans="5:11" ht="3.75" customHeight="1">
      <c r="E74" s="63"/>
      <c r="F74" s="64"/>
      <c r="G74" s="101"/>
      <c r="H74" s="66"/>
      <c r="I74" s="102"/>
      <c r="J74" s="37"/>
      <c r="K74" s="38"/>
    </row>
    <row r="75" spans="5:11" ht="3.75" customHeight="1">
      <c r="E75" s="63"/>
      <c r="F75" s="64"/>
      <c r="G75" s="103"/>
      <c r="H75" s="66"/>
      <c r="I75" s="70"/>
      <c r="J75" s="37"/>
      <c r="K75" s="38"/>
    </row>
    <row r="76" spans="2:11" ht="15.75">
      <c r="B76" s="35" t="s">
        <v>36</v>
      </c>
      <c r="E76" s="63"/>
      <c r="F76" s="64"/>
      <c r="G76" s="7">
        <f>SUM(G72:G73)</f>
        <v>69749</v>
      </c>
      <c r="H76" s="70"/>
      <c r="I76" s="103">
        <f>SUM(I72:I73)</f>
        <v>193899</v>
      </c>
      <c r="J76" s="72"/>
      <c r="K76" s="38"/>
    </row>
    <row r="77" spans="2:11" ht="15.75">
      <c r="B77" s="35" t="s">
        <v>37</v>
      </c>
      <c r="E77" s="63"/>
      <c r="F77" s="64"/>
      <c r="G77" s="67">
        <v>0</v>
      </c>
      <c r="H77" s="70"/>
      <c r="I77" s="67">
        <v>0</v>
      </c>
      <c r="J77" s="72"/>
      <c r="K77" s="38"/>
    </row>
    <row r="78" spans="5:11" ht="3.75" customHeight="1">
      <c r="E78" s="63"/>
      <c r="F78" s="64"/>
      <c r="G78" s="101"/>
      <c r="H78" s="66"/>
      <c r="I78" s="101"/>
      <c r="J78" s="37"/>
      <c r="K78" s="38"/>
    </row>
    <row r="79" spans="5:11" ht="3.75" customHeight="1">
      <c r="E79" s="63"/>
      <c r="F79" s="64"/>
      <c r="G79" s="103"/>
      <c r="H79" s="66"/>
      <c r="I79" s="103"/>
      <c r="J79" s="37"/>
      <c r="K79" s="38"/>
    </row>
    <row r="80" spans="5:11" ht="15.75" customHeight="1">
      <c r="E80" s="64"/>
      <c r="F80" s="64"/>
      <c r="G80" s="7">
        <f>SUM(G76:G77)</f>
        <v>69749</v>
      </c>
      <c r="H80" s="66"/>
      <c r="I80" s="103">
        <f>SUM(I76:I77)</f>
        <v>193899</v>
      </c>
      <c r="J80" s="37"/>
      <c r="K80" s="38"/>
    </row>
    <row r="81" spans="5:11" ht="3.75" customHeight="1">
      <c r="E81" s="63"/>
      <c r="F81" s="64"/>
      <c r="G81" s="101"/>
      <c r="H81" s="66"/>
      <c r="I81" s="101"/>
      <c r="J81" s="37"/>
      <c r="K81" s="38"/>
    </row>
    <row r="82" spans="5:11" ht="3.75" customHeight="1">
      <c r="E82" s="63"/>
      <c r="F82" s="64"/>
      <c r="G82" s="103"/>
      <c r="H82" s="66"/>
      <c r="I82" s="103"/>
      <c r="J82" s="37"/>
      <c r="K82" s="38"/>
    </row>
    <row r="83" spans="2:11" ht="15.75">
      <c r="B83" s="33" t="s">
        <v>25</v>
      </c>
      <c r="E83" s="63"/>
      <c r="F83" s="64"/>
      <c r="G83" s="66">
        <v>364619</v>
      </c>
      <c r="H83" s="66"/>
      <c r="I83" s="65">
        <v>364705</v>
      </c>
      <c r="J83" s="37"/>
      <c r="K83" s="38"/>
    </row>
    <row r="84" spans="2:11" ht="15.75">
      <c r="B84" s="33" t="s">
        <v>26</v>
      </c>
      <c r="E84" s="86"/>
      <c r="F84" s="64"/>
      <c r="G84" s="66">
        <v>700000</v>
      </c>
      <c r="H84" s="66"/>
      <c r="I84" s="65">
        <v>700000</v>
      </c>
      <c r="J84" s="37"/>
      <c r="K84" s="38"/>
    </row>
    <row r="85" spans="2:11" ht="15.75">
      <c r="B85" s="33" t="s">
        <v>27</v>
      </c>
      <c r="E85" s="63"/>
      <c r="F85" s="64"/>
      <c r="G85" s="65">
        <f>23089</f>
        <v>23089</v>
      </c>
      <c r="H85" s="66"/>
      <c r="I85" s="65">
        <v>37588</v>
      </c>
      <c r="J85" s="37"/>
      <c r="K85" s="38"/>
    </row>
    <row r="86" spans="2:11" ht="15.75">
      <c r="B86" s="33" t="s">
        <v>38</v>
      </c>
      <c r="E86" s="86"/>
      <c r="F86" s="64"/>
      <c r="G86" s="66">
        <v>28400</v>
      </c>
      <c r="H86" s="66"/>
      <c r="I86" s="66">
        <v>37000</v>
      </c>
      <c r="J86" s="37"/>
      <c r="K86" s="38"/>
    </row>
    <row r="87" spans="2:11" ht="15.75">
      <c r="B87" s="33" t="s">
        <v>39</v>
      </c>
      <c r="E87" s="86"/>
      <c r="F87" s="64"/>
      <c r="G87" s="66">
        <f>45965</f>
        <v>45965</v>
      </c>
      <c r="H87" s="66"/>
      <c r="I87" s="66">
        <v>96201</v>
      </c>
      <c r="J87" s="37"/>
      <c r="K87" s="38"/>
    </row>
    <row r="88" spans="2:11" ht="15.75">
      <c r="B88" s="33" t="s">
        <v>40</v>
      </c>
      <c r="E88" s="63"/>
      <c r="F88" s="64"/>
      <c r="G88" s="67">
        <f>13510</f>
        <v>13510</v>
      </c>
      <c r="H88" s="66"/>
      <c r="I88" s="67" t="s">
        <v>7</v>
      </c>
      <c r="J88" s="37"/>
      <c r="K88" s="38"/>
    </row>
    <row r="89" spans="2:11" ht="15.75">
      <c r="B89" s="35" t="s">
        <v>41</v>
      </c>
      <c r="E89" s="63"/>
      <c r="F89" s="64"/>
      <c r="G89" s="66">
        <v>25670</v>
      </c>
      <c r="H89" s="66"/>
      <c r="I89" s="67">
        <v>25670</v>
      </c>
      <c r="J89" s="37"/>
      <c r="K89" s="38"/>
    </row>
    <row r="90" spans="2:11" ht="15.75">
      <c r="B90" s="35" t="s">
        <v>42</v>
      </c>
      <c r="E90" s="63"/>
      <c r="F90" s="64"/>
      <c r="G90" s="65">
        <f>9923</f>
        <v>9923</v>
      </c>
      <c r="H90" s="66"/>
      <c r="I90" s="65">
        <v>8909</v>
      </c>
      <c r="J90" s="37"/>
      <c r="K90" s="38"/>
    </row>
    <row r="91" spans="5:11" ht="3.75" customHeight="1">
      <c r="E91" s="63"/>
      <c r="F91" s="64"/>
      <c r="G91" s="101"/>
      <c r="H91" s="66"/>
      <c r="I91" s="101"/>
      <c r="J91" s="37"/>
      <c r="K91" s="38"/>
    </row>
    <row r="92" spans="5:11" ht="3.75" customHeight="1">
      <c r="E92" s="64"/>
      <c r="F92" s="64"/>
      <c r="G92" s="103"/>
      <c r="H92" s="66"/>
      <c r="I92" s="103"/>
      <c r="J92" s="37"/>
      <c r="K92" s="38"/>
    </row>
    <row r="93" spans="2:11" s="46" customFormat="1" ht="15.75">
      <c r="B93" s="33" t="s">
        <v>43</v>
      </c>
      <c r="E93" s="39"/>
      <c r="F93" s="39"/>
      <c r="G93" s="7">
        <f>SUM(G83:G90)</f>
        <v>1211176</v>
      </c>
      <c r="H93" s="7"/>
      <c r="I93" s="7">
        <f>SUM(I83:I90)</f>
        <v>1270073</v>
      </c>
      <c r="J93" s="104"/>
      <c r="K93" s="49"/>
    </row>
    <row r="94" spans="5:11" ht="3.75" customHeight="1">
      <c r="E94" s="63"/>
      <c r="F94" s="64"/>
      <c r="G94" s="101"/>
      <c r="H94" s="66"/>
      <c r="I94" s="101"/>
      <c r="J94" s="37"/>
      <c r="K94" s="38"/>
    </row>
    <row r="95" spans="5:11" ht="3.75" customHeight="1">
      <c r="E95" s="64"/>
      <c r="F95" s="64"/>
      <c r="G95" s="103"/>
      <c r="H95" s="66"/>
      <c r="I95" s="103"/>
      <c r="J95" s="37"/>
      <c r="K95" s="38"/>
    </row>
    <row r="96" spans="5:11" s="46" customFormat="1" ht="15.75">
      <c r="E96" s="39"/>
      <c r="F96" s="39"/>
      <c r="G96" s="92">
        <f>SUM(G93+G80)</f>
        <v>1280925</v>
      </c>
      <c r="H96" s="94"/>
      <c r="I96" s="94">
        <f>SUM(I93+I80)</f>
        <v>1463972</v>
      </c>
      <c r="J96" s="105"/>
      <c r="K96" s="49"/>
    </row>
    <row r="97" spans="5:11" s="46" customFormat="1" ht="3.75" customHeight="1" thickBot="1">
      <c r="E97" s="39"/>
      <c r="F97" s="39"/>
      <c r="G97" s="106"/>
      <c r="H97" s="95"/>
      <c r="I97" s="106"/>
      <c r="J97" s="95"/>
      <c r="K97" s="49"/>
    </row>
    <row r="98" s="17" customFormat="1" ht="12.75" customHeight="1" thickTop="1">
      <c r="K98" s="97"/>
    </row>
    <row r="99" s="17" customFormat="1" ht="12.75" customHeight="1">
      <c r="I99" s="40"/>
    </row>
    <row r="100" s="17" customFormat="1" ht="12.75" customHeight="1"/>
    <row r="101" s="17" customFormat="1" ht="12.75" customHeight="1"/>
    <row r="102" s="17" customFormat="1" ht="12.75" customHeight="1"/>
    <row r="103" s="17" customFormat="1" ht="12.75" customHeight="1"/>
    <row r="104" s="17" customFormat="1" ht="12.75" customHeight="1"/>
    <row r="105" s="17" customFormat="1" ht="12.75" customHeight="1"/>
    <row r="106" s="17" customFormat="1" ht="12.75" customHeight="1"/>
    <row r="107" s="17" customFormat="1" ht="12.75" customHeight="1"/>
    <row r="108" s="17" customFormat="1" ht="12.75" customHeight="1"/>
    <row r="109" s="17" customFormat="1" ht="12.75" customHeight="1"/>
    <row r="110" s="17" customFormat="1" ht="12.75" customHeight="1"/>
    <row r="111" s="17" customFormat="1" ht="12.75" customHeight="1"/>
    <row r="112" s="17" customFormat="1" ht="12.75" customHeight="1"/>
    <row r="113" s="17" customFormat="1" ht="12.75" customHeight="1"/>
    <row r="114" s="17" customFormat="1" ht="12.75" customHeight="1"/>
    <row r="115" s="17" customFormat="1" ht="12.75" customHeight="1"/>
    <row r="116" s="17" customFormat="1" ht="12.75" customHeight="1"/>
    <row r="117" s="17" customFormat="1" ht="12.75" customHeight="1"/>
    <row r="118" s="17" customFormat="1" ht="12.75" customHeight="1"/>
    <row r="119" s="17" customFormat="1" ht="12.75" customHeight="1">
      <c r="B119" s="46" t="s">
        <v>138</v>
      </c>
    </row>
    <row r="120" s="17" customFormat="1" ht="12.75" customHeight="1" hidden="1"/>
    <row r="121" spans="2:10" s="98" customFormat="1" ht="13.5" customHeight="1">
      <c r="B121" s="98" t="s">
        <v>139</v>
      </c>
      <c r="D121" s="46"/>
      <c r="E121" s="46"/>
      <c r="F121" s="46"/>
      <c r="G121" s="107"/>
      <c r="H121" s="107"/>
      <c r="I121" s="107"/>
      <c r="J121" s="107"/>
    </row>
    <row r="122" s="17" customFormat="1" ht="15.75" customHeight="1"/>
  </sheetData>
  <printOptions/>
  <pageMargins left="0.5" right="0" top="0.75" bottom="0" header="0.5" footer="0.5"/>
  <pageSetup horizontalDpi="600" verticalDpi="600" orientation="portrait" paperSize="9" scale="94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L150"/>
  <sheetViews>
    <sheetView view="pageBreakPreview" zoomScaleSheetLayoutView="100" workbookViewId="0" topLeftCell="A33">
      <selection activeCell="B38" sqref="B38"/>
    </sheetView>
  </sheetViews>
  <sheetFormatPr defaultColWidth="9.140625" defaultRowHeight="12.75" customHeight="1"/>
  <cols>
    <col min="1" max="1" width="2.28125" style="4" customWidth="1"/>
    <col min="2" max="2" width="28.8515625" style="4" customWidth="1"/>
    <col min="3" max="3" width="10.8515625" style="4" customWidth="1"/>
    <col min="4" max="4" width="10.7109375" style="4" customWidth="1"/>
    <col min="5" max="5" width="18.7109375" style="177" customWidth="1"/>
    <col min="6" max="6" width="1.421875" style="177" customWidth="1"/>
    <col min="7" max="7" width="18.7109375" style="173" customWidth="1"/>
    <col min="8" max="8" width="6.7109375" style="4" customWidth="1"/>
    <col min="9" max="9" width="2.7109375" style="173" customWidth="1"/>
    <col min="10" max="10" width="13.421875" style="4" customWidth="1"/>
    <col min="11" max="16384" width="6.7109375" style="4" customWidth="1"/>
  </cols>
  <sheetData>
    <row r="1" spans="7:12" s="33" customFormat="1" ht="15.75">
      <c r="G1" s="150"/>
      <c r="H1" s="150"/>
      <c r="I1" s="151"/>
      <c r="J1" s="151"/>
      <c r="K1" s="151"/>
      <c r="L1" s="151"/>
    </row>
    <row r="2" spans="3:12" s="33" customFormat="1" ht="15.75">
      <c r="C2" s="43" t="s">
        <v>0</v>
      </c>
      <c r="G2" s="150"/>
      <c r="I2" s="152"/>
      <c r="J2" s="43"/>
      <c r="K2" s="153"/>
      <c r="L2" s="151"/>
    </row>
    <row r="3" spans="3:12" s="33" customFormat="1" ht="15.75">
      <c r="C3" s="41" t="s">
        <v>1</v>
      </c>
      <c r="G3" s="150"/>
      <c r="I3" s="152"/>
      <c r="J3" s="154"/>
      <c r="K3" s="155"/>
      <c r="L3" s="151"/>
    </row>
    <row r="4" spans="3:12" s="33" customFormat="1" ht="15.75">
      <c r="C4" s="43" t="s">
        <v>2</v>
      </c>
      <c r="G4" s="150"/>
      <c r="H4" s="150"/>
      <c r="I4" s="151"/>
      <c r="J4" s="151"/>
      <c r="K4" s="151"/>
      <c r="L4" s="151"/>
    </row>
    <row r="5" spans="3:12" s="33" customFormat="1" ht="15.75">
      <c r="C5" s="43"/>
      <c r="G5" s="150"/>
      <c r="H5" s="150"/>
      <c r="I5" s="151"/>
      <c r="J5" s="151"/>
      <c r="K5" s="151"/>
      <c r="L5" s="151"/>
    </row>
    <row r="6" spans="7:12" s="33" customFormat="1" ht="15.75">
      <c r="G6" s="150"/>
      <c r="H6" s="150"/>
      <c r="I6" s="151"/>
      <c r="J6" s="151"/>
      <c r="K6" s="151"/>
      <c r="L6" s="151"/>
    </row>
    <row r="7" spans="2:7" s="143" customFormat="1" ht="15" customHeight="1">
      <c r="B7" s="143" t="s">
        <v>131</v>
      </c>
      <c r="G7" s="171"/>
    </row>
    <row r="8" spans="2:6" ht="15.75">
      <c r="B8" s="170"/>
      <c r="C8" s="170"/>
      <c r="D8" s="170"/>
      <c r="E8" s="172"/>
      <c r="F8" s="172"/>
    </row>
    <row r="9" spans="2:7" ht="15.75">
      <c r="B9" s="170"/>
      <c r="C9" s="170"/>
      <c r="D9" s="170"/>
      <c r="E9" s="174">
        <v>2002</v>
      </c>
      <c r="F9" s="172"/>
      <c r="G9" s="174" t="s">
        <v>154</v>
      </c>
    </row>
    <row r="10" spans="2:7" ht="15" customHeight="1">
      <c r="B10" s="175"/>
      <c r="C10" s="175"/>
      <c r="D10" s="175"/>
      <c r="E10" s="176" t="s">
        <v>147</v>
      </c>
      <c r="G10" s="176" t="s">
        <v>147</v>
      </c>
    </row>
    <row r="11" spans="2:7" ht="15.75" customHeight="1">
      <c r="B11" s="21"/>
      <c r="C11" s="21"/>
      <c r="D11" s="21"/>
      <c r="E11" s="178" t="s">
        <v>146</v>
      </c>
      <c r="F11" s="4"/>
      <c r="G11" s="178" t="s">
        <v>146</v>
      </c>
    </row>
    <row r="12" spans="2:9" s="23" customFormat="1" ht="16.5" customHeight="1">
      <c r="B12" s="179"/>
      <c r="C12" s="179"/>
      <c r="D12" s="179"/>
      <c r="E12" s="180" t="s">
        <v>3</v>
      </c>
      <c r="F12" s="181"/>
      <c r="G12" s="180" t="s">
        <v>3</v>
      </c>
      <c r="I12" s="182"/>
    </row>
    <row r="13" spans="2:4" ht="15.75">
      <c r="B13" s="23" t="s">
        <v>59</v>
      </c>
      <c r="C13" s="23"/>
      <c r="D13" s="23"/>
    </row>
    <row r="14" spans="2:7" ht="15.75">
      <c r="B14" s="4" t="s">
        <v>135</v>
      </c>
      <c r="E14" s="13">
        <f>-124514</f>
        <v>-124514</v>
      </c>
      <c r="G14" s="13">
        <f>-488622</f>
        <v>-488622</v>
      </c>
    </row>
    <row r="15" spans="2:7" ht="15.75">
      <c r="B15" s="183" t="s">
        <v>60</v>
      </c>
      <c r="C15" s="183"/>
      <c r="D15" s="183"/>
      <c r="E15" s="13"/>
      <c r="G15" s="13"/>
    </row>
    <row r="16" spans="2:9" ht="15.75">
      <c r="B16" s="184" t="s">
        <v>55</v>
      </c>
      <c r="C16" s="184"/>
      <c r="D16" s="184"/>
      <c r="E16" s="7">
        <v>8560</v>
      </c>
      <c r="F16" s="1"/>
      <c r="G16" s="13">
        <v>8746</v>
      </c>
      <c r="I16" s="4"/>
    </row>
    <row r="17" spans="2:9" ht="15.75">
      <c r="B17" s="184" t="s">
        <v>163</v>
      </c>
      <c r="C17" s="184"/>
      <c r="D17" s="184"/>
      <c r="E17" s="7">
        <v>1290</v>
      </c>
      <c r="F17" s="1"/>
      <c r="G17" s="13">
        <v>3375</v>
      </c>
      <c r="I17" s="4"/>
    </row>
    <row r="18" spans="2:9" ht="15.75">
      <c r="B18" s="184" t="s">
        <v>61</v>
      </c>
      <c r="C18" s="184"/>
      <c r="D18" s="184"/>
      <c r="E18" s="7">
        <f>18756</f>
        <v>18756</v>
      </c>
      <c r="F18" s="1"/>
      <c r="G18" s="13">
        <f>31209</f>
        <v>31209</v>
      </c>
      <c r="I18" s="4"/>
    </row>
    <row r="19" spans="2:9" ht="15.75">
      <c r="B19" s="184" t="s">
        <v>142</v>
      </c>
      <c r="C19" s="184"/>
      <c r="D19" s="184"/>
      <c r="E19" s="7">
        <f>-17424</f>
        <v>-17424</v>
      </c>
      <c r="F19" s="1"/>
      <c r="G19" s="13">
        <v>0</v>
      </c>
      <c r="I19" s="4"/>
    </row>
    <row r="20" spans="2:9" ht="15.75">
      <c r="B20" s="184" t="s">
        <v>42</v>
      </c>
      <c r="C20" s="184"/>
      <c r="D20" s="184"/>
      <c r="E20" s="8">
        <f>1095</f>
        <v>1095</v>
      </c>
      <c r="F20" s="1"/>
      <c r="G20" s="13">
        <v>726</v>
      </c>
      <c r="I20" s="4"/>
    </row>
    <row r="21" spans="2:9" ht="15.75">
      <c r="B21" s="184" t="s">
        <v>169</v>
      </c>
      <c r="C21" s="185"/>
      <c r="D21" s="185"/>
      <c r="E21" s="186"/>
      <c r="F21" s="1"/>
      <c r="G21" s="13"/>
      <c r="I21" s="4"/>
    </row>
    <row r="22" spans="2:9" ht="15.75">
      <c r="B22" s="188" t="s">
        <v>168</v>
      </c>
      <c r="C22" s="187"/>
      <c r="D22" s="187"/>
      <c r="E22" s="186">
        <f>-133952+101</f>
        <v>-133851</v>
      </c>
      <c r="F22" s="1"/>
      <c r="G22" s="13">
        <f>152685</f>
        <v>152685</v>
      </c>
      <c r="I22" s="4"/>
    </row>
    <row r="23" spans="2:9" ht="15.75">
      <c r="B23" s="184" t="s">
        <v>62</v>
      </c>
      <c r="C23" s="184"/>
      <c r="D23" s="184"/>
      <c r="E23" s="8">
        <f>7317</f>
        <v>7317</v>
      </c>
      <c r="F23" s="1"/>
      <c r="G23" s="13">
        <f>1812</f>
        <v>1812</v>
      </c>
      <c r="I23" s="4"/>
    </row>
    <row r="24" spans="2:9" ht="15.75">
      <c r="B24" s="184" t="s">
        <v>63</v>
      </c>
      <c r="C24" s="184"/>
      <c r="D24" s="184"/>
      <c r="E24" s="8">
        <f>-5491-7317+353+311-101</f>
        <v>-12245</v>
      </c>
      <c r="F24" s="1"/>
      <c r="G24" s="13">
        <f>95715</f>
        <v>95715</v>
      </c>
      <c r="I24" s="4"/>
    </row>
    <row r="25" spans="2:7" ht="15.75">
      <c r="B25" s="184" t="s">
        <v>64</v>
      </c>
      <c r="C25" s="184"/>
      <c r="D25" s="184"/>
      <c r="E25" s="8">
        <v>37475</v>
      </c>
      <c r="G25" s="13">
        <f>301715</f>
        <v>301715</v>
      </c>
    </row>
    <row r="26" spans="2:9" ht="15.75">
      <c r="B26" s="184" t="s">
        <v>65</v>
      </c>
      <c r="C26" s="184"/>
      <c r="D26" s="184"/>
      <c r="E26" s="8">
        <f>-46</f>
        <v>-46</v>
      </c>
      <c r="F26" s="1"/>
      <c r="G26" s="13">
        <v>-177</v>
      </c>
      <c r="I26" s="4"/>
    </row>
    <row r="27" spans="2:9" ht="15.75">
      <c r="B27" s="184" t="s">
        <v>156</v>
      </c>
      <c r="C27" s="184"/>
      <c r="D27" s="184"/>
      <c r="E27" s="8">
        <v>0</v>
      </c>
      <c r="F27" s="1"/>
      <c r="G27" s="13">
        <f>18565</f>
        <v>18565</v>
      </c>
      <c r="I27" s="4"/>
    </row>
    <row r="28" spans="2:9" ht="15.75">
      <c r="B28" s="184" t="s">
        <v>66</v>
      </c>
      <c r="C28" s="184"/>
      <c r="D28" s="184"/>
      <c r="E28" s="8">
        <f>33877</f>
        <v>33877</v>
      </c>
      <c r="F28" s="1"/>
      <c r="G28" s="13">
        <f>26368</f>
        <v>26368</v>
      </c>
      <c r="I28" s="4"/>
    </row>
    <row r="29" spans="2:9" ht="15.75">
      <c r="B29" s="184" t="s">
        <v>67</v>
      </c>
      <c r="C29" s="184"/>
      <c r="D29" s="184"/>
      <c r="E29" s="8">
        <f>381903</f>
        <v>381903</v>
      </c>
      <c r="F29" s="1"/>
      <c r="G29" s="13">
        <f>243789</f>
        <v>243789</v>
      </c>
      <c r="I29" s="4"/>
    </row>
    <row r="30" spans="2:9" ht="15.75">
      <c r="B30" s="184" t="s">
        <v>155</v>
      </c>
      <c r="C30" s="184"/>
      <c r="D30" s="184"/>
      <c r="E30" s="8">
        <v>0</v>
      </c>
      <c r="F30" s="1"/>
      <c r="G30" s="13">
        <v>71</v>
      </c>
      <c r="I30" s="4"/>
    </row>
    <row r="31" spans="5:7" ht="4.5" customHeight="1">
      <c r="E31" s="15"/>
      <c r="F31" s="1"/>
      <c r="G31" s="15"/>
    </row>
    <row r="32" spans="5:7" ht="4.5" customHeight="1">
      <c r="E32" s="7"/>
      <c r="F32" s="1"/>
      <c r="G32" s="7"/>
    </row>
    <row r="33" spans="2:7" ht="15.75">
      <c r="B33" s="4" t="s">
        <v>68</v>
      </c>
      <c r="E33" s="1">
        <f>SUM(E14:E31)</f>
        <v>202193</v>
      </c>
      <c r="G33" s="1">
        <f>SUM(G14:G31)</f>
        <v>395977</v>
      </c>
    </row>
    <row r="34" spans="2:10" ht="15.75">
      <c r="B34" s="184" t="s">
        <v>69</v>
      </c>
      <c r="C34" s="184"/>
      <c r="D34" s="184"/>
      <c r="E34" s="13">
        <f>304616-349094</f>
        <v>-44478</v>
      </c>
      <c r="G34" s="13">
        <f>-268346-105874</f>
        <v>-374220</v>
      </c>
      <c r="J34" s="173"/>
    </row>
    <row r="35" spans="2:10" ht="15.75">
      <c r="B35" s="184" t="s">
        <v>157</v>
      </c>
      <c r="C35" s="184"/>
      <c r="D35" s="184"/>
      <c r="E35" s="4"/>
      <c r="F35" s="1"/>
      <c r="G35" s="13"/>
      <c r="J35" s="173"/>
    </row>
    <row r="36" spans="2:10" s="188" customFormat="1" ht="15.75">
      <c r="B36" s="188" t="s">
        <v>70</v>
      </c>
      <c r="E36" s="12">
        <v>5858</v>
      </c>
      <c r="F36" s="189"/>
      <c r="G36" s="190">
        <f>-38017</f>
        <v>-38017</v>
      </c>
      <c r="I36" s="191"/>
      <c r="J36" s="191"/>
    </row>
    <row r="37" spans="2:7" ht="15.75">
      <c r="B37" s="184" t="s">
        <v>170</v>
      </c>
      <c r="C37" s="184"/>
      <c r="D37" s="184"/>
      <c r="E37" s="13">
        <f>2118-47478</f>
        <v>-45360</v>
      </c>
      <c r="F37" s="1"/>
      <c r="G37" s="13">
        <f>63802</f>
        <v>63802</v>
      </c>
    </row>
    <row r="38" spans="2:7" ht="15.75">
      <c r="B38" s="184" t="s">
        <v>129</v>
      </c>
      <c r="C38" s="184"/>
      <c r="D38" s="184"/>
      <c r="E38" s="7">
        <f>156681</f>
        <v>156681</v>
      </c>
      <c r="F38" s="1"/>
      <c r="G38" s="13">
        <f>23499</f>
        <v>23499</v>
      </c>
    </row>
    <row r="39" spans="2:9" s="30" customFormat="1" ht="15.75">
      <c r="B39" s="184" t="s">
        <v>130</v>
      </c>
      <c r="C39" s="184"/>
      <c r="D39" s="184"/>
      <c r="E39" s="7">
        <f>-146645+13510</f>
        <v>-133135</v>
      </c>
      <c r="F39" s="1"/>
      <c r="G39" s="7">
        <f>-641013</f>
        <v>-641013</v>
      </c>
      <c r="I39" s="16"/>
    </row>
    <row r="40" spans="2:9" s="30" customFormat="1" ht="15.75">
      <c r="B40" s="184" t="s">
        <v>166</v>
      </c>
      <c r="C40" s="184"/>
      <c r="D40" s="184"/>
      <c r="E40" s="7">
        <f>29364+25504</f>
        <v>54868</v>
      </c>
      <c r="F40" s="1"/>
      <c r="G40" s="7">
        <f>-29123+36218+1</f>
        <v>7096</v>
      </c>
      <c r="I40" s="16"/>
    </row>
    <row r="41" spans="2:9" s="30" customFormat="1" ht="15.75">
      <c r="B41" s="184" t="s">
        <v>167</v>
      </c>
      <c r="C41" s="184"/>
      <c r="D41" s="184"/>
      <c r="E41" s="15">
        <f>-3984</f>
        <v>-3984</v>
      </c>
      <c r="F41" s="1"/>
      <c r="G41" s="15">
        <f>111037</f>
        <v>111037</v>
      </c>
      <c r="I41" s="16"/>
    </row>
    <row r="42" spans="5:7" ht="4.5" customHeight="1">
      <c r="E42" s="7"/>
      <c r="F42" s="1"/>
      <c r="G42" s="7"/>
    </row>
    <row r="43" spans="2:7" ht="15.75">
      <c r="B43" s="4" t="s">
        <v>162</v>
      </c>
      <c r="E43" s="13">
        <f>SUM(E33:E41)</f>
        <v>192643</v>
      </c>
      <c r="G43" s="13">
        <f>SUM(G33:G41)</f>
        <v>-451839</v>
      </c>
    </row>
    <row r="44" spans="2:7" ht="15.75">
      <c r="B44" s="4" t="s">
        <v>71</v>
      </c>
      <c r="E44" s="13">
        <f>-154-203-1</f>
        <v>-358</v>
      </c>
      <c r="F44" s="1"/>
      <c r="G44" s="13">
        <f>-468</f>
        <v>-468</v>
      </c>
    </row>
    <row r="45" spans="5:7" ht="4.5" customHeight="1">
      <c r="E45" s="15"/>
      <c r="F45" s="1"/>
      <c r="G45" s="15"/>
    </row>
    <row r="46" spans="5:7" ht="4.5" customHeight="1">
      <c r="E46" s="7"/>
      <c r="F46" s="1"/>
      <c r="G46" s="7"/>
    </row>
    <row r="47" spans="2:7" ht="15.75">
      <c r="B47" s="4" t="s">
        <v>161</v>
      </c>
      <c r="E47" s="7">
        <f>SUM(E43:E44)</f>
        <v>192285</v>
      </c>
      <c r="G47" s="7">
        <f>SUM(G43:G44)</f>
        <v>-452307</v>
      </c>
    </row>
    <row r="48" spans="5:7" ht="4.5" customHeight="1">
      <c r="E48" s="15"/>
      <c r="G48" s="15"/>
    </row>
    <row r="49" ht="4.5" customHeight="1">
      <c r="E49" s="13"/>
    </row>
    <row r="50" ht="12.75" customHeight="1">
      <c r="E50" s="13"/>
    </row>
    <row r="51" spans="2:5" ht="12.75" customHeight="1">
      <c r="B51" s="23"/>
      <c r="E51" s="13"/>
    </row>
    <row r="52" spans="2:5" ht="12.75" customHeight="1">
      <c r="B52" s="23" t="s">
        <v>140</v>
      </c>
      <c r="E52" s="13"/>
    </row>
    <row r="53" spans="2:5" ht="12.75" customHeight="1">
      <c r="B53" s="23" t="s">
        <v>141</v>
      </c>
      <c r="E53" s="13"/>
    </row>
    <row r="54" spans="2:5" ht="12.75" customHeight="1">
      <c r="B54" s="23"/>
      <c r="E54" s="13"/>
    </row>
    <row r="55" spans="2:5" ht="12.75" customHeight="1">
      <c r="B55" s="23"/>
      <c r="E55" s="13"/>
    </row>
    <row r="56" spans="2:5" ht="12.75" customHeight="1">
      <c r="B56" s="23"/>
      <c r="E56" s="13"/>
    </row>
    <row r="57" spans="2:5" ht="12.75" customHeight="1">
      <c r="B57" s="23"/>
      <c r="E57" s="13"/>
    </row>
    <row r="58" spans="2:5" ht="12.75" customHeight="1">
      <c r="B58" s="23"/>
      <c r="E58" s="13"/>
    </row>
    <row r="59" spans="3:12" s="33" customFormat="1" ht="15.75">
      <c r="C59" s="43" t="s">
        <v>0</v>
      </c>
      <c r="G59" s="150"/>
      <c r="I59" s="152"/>
      <c r="J59" s="43"/>
      <c r="K59" s="153"/>
      <c r="L59" s="151"/>
    </row>
    <row r="60" spans="3:12" s="33" customFormat="1" ht="15.75">
      <c r="C60" s="41" t="s">
        <v>1</v>
      </c>
      <c r="G60" s="150"/>
      <c r="I60" s="152"/>
      <c r="J60" s="154"/>
      <c r="K60" s="155"/>
      <c r="L60" s="151"/>
    </row>
    <row r="61" spans="3:12" s="33" customFormat="1" ht="15.75">
      <c r="C61" s="43" t="s">
        <v>2</v>
      </c>
      <c r="G61" s="150"/>
      <c r="H61" s="150"/>
      <c r="I61" s="151"/>
      <c r="J61" s="151"/>
      <c r="K61" s="151"/>
      <c r="L61" s="151"/>
    </row>
    <row r="62" spans="7:12" s="33" customFormat="1" ht="15.75">
      <c r="G62" s="150"/>
      <c r="H62" s="150"/>
      <c r="I62" s="151"/>
      <c r="J62" s="151"/>
      <c r="K62" s="151"/>
      <c r="L62" s="151"/>
    </row>
    <row r="63" s="33" customFormat="1" ht="15.75">
      <c r="G63" s="151"/>
    </row>
    <row r="64" spans="2:7" s="143" customFormat="1" ht="15" customHeight="1">
      <c r="B64" s="143" t="s">
        <v>131</v>
      </c>
      <c r="G64" s="171"/>
    </row>
    <row r="65" spans="2:6" ht="15.75">
      <c r="B65" s="170"/>
      <c r="C65" s="170"/>
      <c r="D65" s="170"/>
      <c r="E65" s="172"/>
      <c r="F65" s="172"/>
    </row>
    <row r="66" spans="2:7" ht="15.75">
      <c r="B66" s="170"/>
      <c r="C66" s="170"/>
      <c r="D66" s="170"/>
      <c r="E66" s="174">
        <v>2002</v>
      </c>
      <c r="F66" s="172"/>
      <c r="G66" s="174" t="s">
        <v>154</v>
      </c>
    </row>
    <row r="67" spans="2:7" ht="15" customHeight="1">
      <c r="B67" s="175"/>
      <c r="C67" s="175"/>
      <c r="D67" s="175"/>
      <c r="E67" s="176" t="s">
        <v>147</v>
      </c>
      <c r="G67" s="176" t="s">
        <v>147</v>
      </c>
    </row>
    <row r="68" spans="2:7" ht="15.75" customHeight="1">
      <c r="B68" s="21"/>
      <c r="C68" s="21"/>
      <c r="D68" s="21"/>
      <c r="E68" s="178" t="s">
        <v>146</v>
      </c>
      <c r="F68" s="4"/>
      <c r="G68" s="178" t="s">
        <v>146</v>
      </c>
    </row>
    <row r="69" spans="2:9" s="23" customFormat="1" ht="16.5" customHeight="1">
      <c r="B69" s="179"/>
      <c r="C69" s="179"/>
      <c r="D69" s="179"/>
      <c r="E69" s="180" t="s">
        <v>3</v>
      </c>
      <c r="F69" s="181"/>
      <c r="G69" s="180" t="s">
        <v>3</v>
      </c>
      <c r="I69" s="182"/>
    </row>
    <row r="70" spans="2:9" s="23" customFormat="1" ht="15.75" customHeight="1">
      <c r="B70" s="23" t="s">
        <v>72</v>
      </c>
      <c r="E70" s="13"/>
      <c r="F70" s="177"/>
      <c r="G70" s="192"/>
      <c r="I70" s="182"/>
    </row>
    <row r="71" spans="2:9" s="23" customFormat="1" ht="15.75" customHeight="1">
      <c r="B71" s="184" t="s">
        <v>73</v>
      </c>
      <c r="C71" s="184"/>
      <c r="D71" s="184"/>
      <c r="E71" s="7">
        <f>-72510</f>
        <v>-72510</v>
      </c>
      <c r="F71" s="1"/>
      <c r="G71" s="193">
        <f>-166746</f>
        <v>-166746</v>
      </c>
      <c r="I71" s="182"/>
    </row>
    <row r="72" spans="2:9" s="23" customFormat="1" ht="15.75" customHeight="1">
      <c r="B72" s="184" t="s">
        <v>122</v>
      </c>
      <c r="C72" s="184"/>
      <c r="D72" s="184"/>
      <c r="E72" s="7">
        <f>-160</f>
        <v>-160</v>
      </c>
      <c r="F72" s="1"/>
      <c r="G72" s="193">
        <f>-8891</f>
        <v>-8891</v>
      </c>
      <c r="I72" s="182"/>
    </row>
    <row r="73" spans="2:9" s="23" customFormat="1" ht="15.75" customHeight="1">
      <c r="B73" s="184" t="s">
        <v>74</v>
      </c>
      <c r="C73" s="184"/>
      <c r="D73" s="184"/>
      <c r="G73" s="193"/>
      <c r="I73" s="182"/>
    </row>
    <row r="74" spans="2:9" s="23" customFormat="1" ht="15.75" customHeight="1">
      <c r="B74" s="184" t="s">
        <v>75</v>
      </c>
      <c r="C74" s="184"/>
      <c r="D74" s="184"/>
      <c r="E74" s="7">
        <v>46</v>
      </c>
      <c r="F74" s="1"/>
      <c r="G74" s="193">
        <f>191</f>
        <v>191</v>
      </c>
      <c r="I74" s="182"/>
    </row>
    <row r="75" spans="2:9" s="23" customFormat="1" ht="15.75" customHeight="1">
      <c r="B75" s="4" t="s">
        <v>120</v>
      </c>
      <c r="C75" s="4"/>
      <c r="D75" s="4"/>
      <c r="E75" s="8">
        <v>0</v>
      </c>
      <c r="F75" s="177"/>
      <c r="G75" s="193">
        <f>-33152</f>
        <v>-33152</v>
      </c>
      <c r="I75" s="182"/>
    </row>
    <row r="76" spans="2:9" s="23" customFormat="1" ht="4.5" customHeight="1">
      <c r="B76" s="4"/>
      <c r="C76" s="4"/>
      <c r="D76" s="4"/>
      <c r="E76" s="194"/>
      <c r="F76" s="177"/>
      <c r="G76" s="194"/>
      <c r="I76" s="182"/>
    </row>
    <row r="77" spans="2:9" s="23" customFormat="1" ht="4.5" customHeight="1">
      <c r="B77" s="170"/>
      <c r="C77" s="170"/>
      <c r="D77" s="170"/>
      <c r="E77" s="172"/>
      <c r="F77" s="172"/>
      <c r="G77" s="172"/>
      <c r="I77" s="182"/>
    </row>
    <row r="78" spans="2:9" s="23" customFormat="1" ht="12.75" customHeight="1">
      <c r="B78" s="4" t="s">
        <v>76</v>
      </c>
      <c r="C78" s="4"/>
      <c r="D78" s="4"/>
      <c r="E78" s="7">
        <f>SUM(E71:E77)</f>
        <v>-72624</v>
      </c>
      <c r="F78" s="177"/>
      <c r="G78" s="7">
        <f>SUM(G71:G77)</f>
        <v>-208598</v>
      </c>
      <c r="I78" s="182"/>
    </row>
    <row r="79" spans="2:9" s="23" customFormat="1" ht="4.5" customHeight="1">
      <c r="B79" s="170"/>
      <c r="C79" s="170"/>
      <c r="D79" s="170"/>
      <c r="E79" s="195"/>
      <c r="F79" s="172"/>
      <c r="G79" s="195"/>
      <c r="I79" s="182"/>
    </row>
    <row r="80" spans="2:5" ht="15.75">
      <c r="B80" s="23" t="s">
        <v>77</v>
      </c>
      <c r="C80" s="23"/>
      <c r="D80" s="23"/>
      <c r="E80" s="13"/>
    </row>
    <row r="81" spans="2:9" s="30" customFormat="1" ht="15.75" customHeight="1">
      <c r="B81" s="196" t="s">
        <v>78</v>
      </c>
      <c r="C81" s="196"/>
      <c r="D81" s="196"/>
      <c r="E81" s="7">
        <f>-86</f>
        <v>-86</v>
      </c>
      <c r="F81" s="1"/>
      <c r="G81" s="7">
        <f>11576</f>
        <v>11576</v>
      </c>
      <c r="I81" s="16"/>
    </row>
    <row r="82" spans="2:9" s="30" customFormat="1" ht="15.75">
      <c r="B82" s="196" t="s">
        <v>26</v>
      </c>
      <c r="C82" s="196"/>
      <c r="D82" s="196"/>
      <c r="E82" s="197">
        <f>-165</f>
        <v>-165</v>
      </c>
      <c r="F82" s="1"/>
      <c r="G82" s="7">
        <f>702604</f>
        <v>702604</v>
      </c>
      <c r="I82" s="16"/>
    </row>
    <row r="83" spans="2:9" s="30" customFormat="1" ht="15.75">
      <c r="B83" s="196" t="s">
        <v>79</v>
      </c>
      <c r="C83" s="196"/>
      <c r="D83" s="196"/>
      <c r="E83" s="7">
        <f>-6373-14499</f>
        <v>-20872</v>
      </c>
      <c r="F83" s="1"/>
      <c r="G83" s="7">
        <f>-28574</f>
        <v>-28574</v>
      </c>
      <c r="I83" s="16"/>
    </row>
    <row r="84" spans="2:9" s="30" customFormat="1" ht="15.75">
      <c r="B84" s="33" t="s">
        <v>121</v>
      </c>
      <c r="C84" s="196"/>
      <c r="D84" s="196"/>
      <c r="E84" s="7">
        <f>2600-8600</f>
        <v>-6000</v>
      </c>
      <c r="F84" s="1"/>
      <c r="G84" s="7">
        <v>0</v>
      </c>
      <c r="I84" s="16"/>
    </row>
    <row r="85" spans="2:9" s="30" customFormat="1" ht="15.75">
      <c r="B85" s="196" t="s">
        <v>39</v>
      </c>
      <c r="C85" s="196"/>
      <c r="D85" s="196"/>
      <c r="E85" s="7">
        <f>-12568</f>
        <v>-12568</v>
      </c>
      <c r="F85" s="1"/>
      <c r="G85" s="7">
        <f>-10501</f>
        <v>-10501</v>
      </c>
      <c r="I85" s="16"/>
    </row>
    <row r="86" spans="2:9" s="30" customFormat="1" ht="15.75">
      <c r="B86" s="196" t="s">
        <v>80</v>
      </c>
      <c r="C86" s="196"/>
      <c r="D86" s="196"/>
      <c r="E86" s="7">
        <f>-81</f>
        <v>-81</v>
      </c>
      <c r="F86" s="1"/>
      <c r="G86" s="7">
        <f>-613</f>
        <v>-613</v>
      </c>
      <c r="I86" s="16"/>
    </row>
    <row r="87" spans="5:9" s="30" customFormat="1" ht="4.5" customHeight="1">
      <c r="E87" s="15"/>
      <c r="F87" s="1"/>
      <c r="G87" s="15"/>
      <c r="I87" s="16"/>
    </row>
    <row r="88" spans="5:9" s="30" customFormat="1" ht="4.5" customHeight="1">
      <c r="E88" s="7"/>
      <c r="F88" s="1"/>
      <c r="G88" s="7"/>
      <c r="I88" s="16"/>
    </row>
    <row r="89" spans="2:7" ht="15.75">
      <c r="B89" s="4" t="s">
        <v>158</v>
      </c>
      <c r="E89" s="7">
        <f>SUM(E81:E88)</f>
        <v>-39772</v>
      </c>
      <c r="F89" s="1"/>
      <c r="G89" s="7">
        <f>SUM(G81:G88)</f>
        <v>674492</v>
      </c>
    </row>
    <row r="90" spans="2:7" ht="4.5" customHeight="1">
      <c r="B90" s="198"/>
      <c r="C90" s="198"/>
      <c r="D90" s="198"/>
      <c r="E90" s="15"/>
      <c r="F90" s="1"/>
      <c r="G90" s="15"/>
    </row>
    <row r="91" spans="2:7" ht="4.5" customHeight="1">
      <c r="B91" s="198"/>
      <c r="C91" s="198"/>
      <c r="D91" s="198"/>
      <c r="E91" s="7"/>
      <c r="F91" s="1"/>
      <c r="G91" s="4"/>
    </row>
    <row r="92" spans="2:7" ht="15.75">
      <c r="B92" s="4" t="s">
        <v>127</v>
      </c>
      <c r="E92" s="7">
        <f>E47+E78+E89</f>
        <v>79889</v>
      </c>
      <c r="G92" s="7">
        <f>G47+G78+G89</f>
        <v>13587</v>
      </c>
    </row>
    <row r="93" spans="2:7" ht="15.75">
      <c r="B93" s="4" t="s">
        <v>81</v>
      </c>
      <c r="E93" s="13">
        <f>19814</f>
        <v>19814</v>
      </c>
      <c r="F93" s="1"/>
      <c r="G93" s="13">
        <f>6227</f>
        <v>6227</v>
      </c>
    </row>
    <row r="94" spans="5:7" ht="4.5" customHeight="1">
      <c r="E94" s="13"/>
      <c r="F94" s="1"/>
      <c r="G94" s="13"/>
    </row>
    <row r="95" spans="5:7" ht="4.5" customHeight="1">
      <c r="E95" s="169"/>
      <c r="F95" s="1"/>
      <c r="G95" s="169"/>
    </row>
    <row r="96" spans="2:7" ht="15.75">
      <c r="B96" s="4" t="s">
        <v>153</v>
      </c>
      <c r="E96" s="7">
        <f>SUM(E92:E95)</f>
        <v>99703</v>
      </c>
      <c r="F96" s="1"/>
      <c r="G96" s="7">
        <f>SUM(G92:G95)</f>
        <v>19814</v>
      </c>
    </row>
    <row r="97" spans="5:7" ht="4.5" customHeight="1" thickBot="1">
      <c r="E97" s="199"/>
      <c r="G97" s="199"/>
    </row>
    <row r="98" ht="6" customHeight="1" thickTop="1">
      <c r="G98" s="177"/>
    </row>
    <row r="99" spans="2:7" ht="12.75" customHeight="1" hidden="1">
      <c r="B99" s="4" t="s">
        <v>82</v>
      </c>
      <c r="G99" s="177"/>
    </row>
    <row r="100" ht="6" customHeight="1" hidden="1">
      <c r="G100" s="177"/>
    </row>
    <row r="101" spans="2:7" ht="12.75" customHeight="1" hidden="1">
      <c r="B101" s="4" t="s">
        <v>83</v>
      </c>
      <c r="E101" s="1">
        <f>E96</f>
        <v>99703</v>
      </c>
      <c r="G101" s="1">
        <f>G96</f>
        <v>19814</v>
      </c>
    </row>
    <row r="102" ht="6" customHeight="1" hidden="1">
      <c r="G102" s="177"/>
    </row>
    <row r="103" ht="6" customHeight="1" hidden="1">
      <c r="G103" s="177"/>
    </row>
    <row r="104" spans="2:7" ht="12.75" customHeight="1" hidden="1">
      <c r="B104" s="4" t="s">
        <v>84</v>
      </c>
      <c r="G104" s="177"/>
    </row>
    <row r="105" spans="5:7" ht="4.5" customHeight="1" hidden="1">
      <c r="E105" s="200"/>
      <c r="G105" s="200"/>
    </row>
    <row r="106" spans="5:7" ht="4.5" customHeight="1" hidden="1">
      <c r="E106" s="1"/>
      <c r="G106" s="1"/>
    </row>
    <row r="107" spans="2:7" ht="12.75" customHeight="1" hidden="1">
      <c r="B107" s="4" t="s">
        <v>85</v>
      </c>
      <c r="G107" s="177"/>
    </row>
    <row r="108" spans="5:7" ht="4.5" customHeight="1" hidden="1">
      <c r="E108" s="199"/>
      <c r="G108" s="199"/>
    </row>
    <row r="109" ht="4.5" customHeight="1" hidden="1">
      <c r="G109" s="177"/>
    </row>
    <row r="110" spans="2:7" ht="12.75" customHeight="1" hidden="1">
      <c r="B110" s="4" t="s">
        <v>86</v>
      </c>
      <c r="G110" s="177"/>
    </row>
    <row r="111" spans="5:9" s="201" customFormat="1" ht="6" customHeight="1" hidden="1">
      <c r="E111" s="202"/>
      <c r="F111" s="202"/>
      <c r="G111" s="202"/>
      <c r="I111" s="26"/>
    </row>
    <row r="112" spans="2:7" ht="12.75" customHeight="1" hidden="1">
      <c r="B112" s="4" t="s">
        <v>87</v>
      </c>
      <c r="G112" s="177"/>
    </row>
    <row r="113" spans="2:7" ht="12.75" customHeight="1" hidden="1">
      <c r="B113" s="4" t="s">
        <v>88</v>
      </c>
      <c r="G113" s="177"/>
    </row>
    <row r="114" spans="2:7" ht="12.75" customHeight="1" hidden="1">
      <c r="B114" s="4" t="s">
        <v>89</v>
      </c>
      <c r="G114" s="177"/>
    </row>
    <row r="115" spans="2:7" ht="12.75" customHeight="1" hidden="1">
      <c r="B115" s="4" t="s">
        <v>90</v>
      </c>
      <c r="G115" s="177"/>
    </row>
    <row r="116" spans="2:7" ht="12.75" customHeight="1" hidden="1">
      <c r="B116" s="4" t="s">
        <v>91</v>
      </c>
      <c r="G116" s="177"/>
    </row>
    <row r="117" spans="2:7" ht="12.75" customHeight="1" hidden="1">
      <c r="B117" s="4" t="s">
        <v>92</v>
      </c>
      <c r="G117" s="177"/>
    </row>
    <row r="118" spans="2:7" ht="12.75" customHeight="1" hidden="1">
      <c r="B118" s="4" t="s">
        <v>93</v>
      </c>
      <c r="G118" s="177"/>
    </row>
    <row r="119" spans="2:7" ht="12.75" customHeight="1" hidden="1">
      <c r="B119" s="4" t="s">
        <v>94</v>
      </c>
      <c r="G119" s="177"/>
    </row>
    <row r="120" spans="5:7" ht="4.5" customHeight="1" hidden="1">
      <c r="E120" s="200"/>
      <c r="G120" s="200"/>
    </row>
    <row r="121" spans="2:7" ht="12.75" customHeight="1" hidden="1">
      <c r="B121" s="4" t="s">
        <v>95</v>
      </c>
      <c r="G121" s="177"/>
    </row>
    <row r="122" spans="2:7" ht="12.75" customHeight="1" hidden="1">
      <c r="B122" s="4" t="s">
        <v>96</v>
      </c>
      <c r="G122" s="177"/>
    </row>
    <row r="123" spans="5:7" ht="4.5" customHeight="1" hidden="1">
      <c r="E123" s="200"/>
      <c r="G123" s="200"/>
    </row>
    <row r="124" spans="2:7" ht="12.75" customHeight="1" hidden="1">
      <c r="B124" s="4" t="s">
        <v>97</v>
      </c>
      <c r="G124" s="177"/>
    </row>
    <row r="125" spans="2:7" ht="12.75" customHeight="1" hidden="1">
      <c r="B125" s="4" t="s">
        <v>98</v>
      </c>
      <c r="G125" s="177"/>
    </row>
    <row r="126" spans="5:7" ht="4.5" customHeight="1" hidden="1">
      <c r="E126" s="200"/>
      <c r="G126" s="200"/>
    </row>
    <row r="127" spans="2:7" ht="12.75" customHeight="1" hidden="1">
      <c r="B127" s="4" t="s">
        <v>99</v>
      </c>
      <c r="G127" s="177"/>
    </row>
    <row r="128" spans="5:7" ht="4.5" customHeight="1" hidden="1">
      <c r="E128" s="199"/>
      <c r="G128" s="199"/>
    </row>
    <row r="129" ht="12.75" customHeight="1" hidden="1">
      <c r="G129" s="177"/>
    </row>
    <row r="130" ht="12.75" customHeight="1" hidden="1">
      <c r="G130" s="177"/>
    </row>
    <row r="131" ht="12.75" customHeight="1" hidden="1">
      <c r="G131" s="177"/>
    </row>
    <row r="132" spans="2:7" ht="15.75" customHeight="1">
      <c r="B132" s="4" t="s">
        <v>100</v>
      </c>
      <c r="E132" s="7"/>
      <c r="F132" s="1"/>
      <c r="G132" s="7"/>
    </row>
    <row r="133" spans="2:7" ht="15.75">
      <c r="B133" s="4" t="s">
        <v>101</v>
      </c>
      <c r="E133" s="7">
        <f>E96</f>
        <v>99703</v>
      </c>
      <c r="F133" s="1"/>
      <c r="G133" s="7">
        <f>G96</f>
        <v>19814</v>
      </c>
    </row>
    <row r="134" spans="5:7" ht="4.5" customHeight="1" thickBot="1">
      <c r="E134" s="199"/>
      <c r="G134" s="199"/>
    </row>
    <row r="135" ht="6" customHeight="1" thickTop="1"/>
    <row r="137" ht="12.75" customHeight="1">
      <c r="G137" s="13"/>
    </row>
    <row r="146" ht="15.75" customHeight="1"/>
    <row r="147" ht="12.75" customHeight="1">
      <c r="B147" s="23" t="s">
        <v>140</v>
      </c>
    </row>
    <row r="148" ht="12.75" customHeight="1">
      <c r="B148" s="23" t="s">
        <v>141</v>
      </c>
    </row>
    <row r="149" spans="2:4" ht="12.75" customHeight="1">
      <c r="B149" s="203"/>
      <c r="C149" s="203"/>
      <c r="D149" s="203"/>
    </row>
    <row r="150" spans="2:4" ht="12.75" customHeight="1">
      <c r="B150" s="203"/>
      <c r="C150" s="203"/>
      <c r="D150" s="203"/>
    </row>
  </sheetData>
  <printOptions/>
  <pageMargins left="0.5" right="0" top="0.75" bottom="0" header="0.25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7"/>
  <sheetViews>
    <sheetView view="pageBreakPreview" zoomScaleSheetLayoutView="100" workbookViewId="0" topLeftCell="A1">
      <selection activeCell="G11" sqref="G11:I11"/>
    </sheetView>
  </sheetViews>
  <sheetFormatPr defaultColWidth="9.140625" defaultRowHeight="12.75"/>
  <cols>
    <col min="1" max="1" width="2.28125" style="4" customWidth="1"/>
    <col min="2" max="2" width="24.57421875" style="4" customWidth="1"/>
    <col min="3" max="3" width="4.7109375" style="4" customWidth="1"/>
    <col min="4" max="11" width="12.7109375" style="4" customWidth="1"/>
    <col min="12" max="16384" width="6.7109375" style="4" customWidth="1"/>
  </cols>
  <sheetData>
    <row r="1" spans="7:12" s="33" customFormat="1" ht="15.75">
      <c r="G1" s="150"/>
      <c r="H1" s="150"/>
      <c r="I1" s="151"/>
      <c r="J1" s="151"/>
      <c r="K1" s="151"/>
      <c r="L1" s="151"/>
    </row>
    <row r="2" spans="6:12" s="33" customFormat="1" ht="15.75">
      <c r="F2" s="43" t="s">
        <v>0</v>
      </c>
      <c r="I2" s="152"/>
      <c r="J2" s="43"/>
      <c r="K2" s="153"/>
      <c r="L2" s="151"/>
    </row>
    <row r="3" spans="6:12" s="33" customFormat="1" ht="15.75">
      <c r="F3" s="41" t="s">
        <v>1</v>
      </c>
      <c r="I3" s="152"/>
      <c r="J3" s="154"/>
      <c r="K3" s="155"/>
      <c r="L3" s="151"/>
    </row>
    <row r="4" spans="6:12" s="33" customFormat="1" ht="15.75">
      <c r="F4" s="43" t="s">
        <v>2</v>
      </c>
      <c r="H4" s="150"/>
      <c r="I4" s="151"/>
      <c r="J4" s="151"/>
      <c r="K4" s="151"/>
      <c r="L4" s="151"/>
    </row>
    <row r="5" spans="2:9" ht="15.75">
      <c r="B5" s="156"/>
      <c r="C5" s="156"/>
      <c r="D5" s="157"/>
      <c r="E5" s="19"/>
      <c r="F5" s="20"/>
      <c r="G5" s="19"/>
      <c r="H5" s="19"/>
      <c r="I5" s="19"/>
    </row>
    <row r="6" spans="2:9" ht="15.75">
      <c r="B6" s="156"/>
      <c r="C6" s="156"/>
      <c r="D6" s="157"/>
      <c r="E6" s="19"/>
      <c r="F6" s="20"/>
      <c r="G6" s="19"/>
      <c r="H6" s="19"/>
      <c r="I6" s="19"/>
    </row>
    <row r="7" spans="2:11" ht="15.75">
      <c r="B7" s="21" t="s">
        <v>126</v>
      </c>
      <c r="C7" s="22"/>
      <c r="D7" s="22"/>
      <c r="E7" s="22"/>
      <c r="F7" s="22"/>
      <c r="G7" s="22"/>
      <c r="H7" s="22"/>
      <c r="I7" s="22"/>
      <c r="J7" s="22"/>
      <c r="K7" s="22"/>
    </row>
    <row r="8" spans="2:11" ht="15.75">
      <c r="B8" s="21" t="s">
        <v>149</v>
      </c>
      <c r="C8" s="22"/>
      <c r="D8" s="22"/>
      <c r="E8" s="22"/>
      <c r="F8" s="22"/>
      <c r="G8" s="22"/>
      <c r="H8" s="22"/>
      <c r="I8" s="22"/>
      <c r="J8" s="22"/>
      <c r="K8" s="22"/>
    </row>
    <row r="9" spans="2:9" ht="15.75">
      <c r="B9" s="23"/>
      <c r="C9" s="23"/>
      <c r="D9" s="24"/>
      <c r="E9" s="24"/>
      <c r="F9" s="24"/>
      <c r="G9" s="24"/>
      <c r="H9" s="24"/>
      <c r="I9" s="24"/>
    </row>
    <row r="10" spans="2:9" ht="15.75">
      <c r="B10" s="23"/>
      <c r="C10" s="23"/>
      <c r="D10" s="24"/>
      <c r="E10" s="206" t="s">
        <v>102</v>
      </c>
      <c r="F10" s="206"/>
      <c r="G10" s="206"/>
      <c r="H10" s="206"/>
      <c r="I10" s="206"/>
    </row>
    <row r="11" spans="5:9" ht="15.75">
      <c r="E11" s="158"/>
      <c r="F11" s="158"/>
      <c r="G11" s="207" t="s">
        <v>103</v>
      </c>
      <c r="H11" s="207"/>
      <c r="I11" s="207"/>
    </row>
    <row r="12" spans="5:9" ht="15.75">
      <c r="E12" s="23"/>
      <c r="F12" s="23"/>
      <c r="G12" s="207" t="s">
        <v>104</v>
      </c>
      <c r="H12" s="207"/>
      <c r="I12" s="207"/>
    </row>
    <row r="13" spans="2:9" ht="6" customHeight="1">
      <c r="B13" s="25"/>
      <c r="C13" s="25"/>
      <c r="D13" s="159" t="s">
        <v>13</v>
      </c>
      <c r="E13" s="159"/>
      <c r="F13" s="25"/>
      <c r="G13" s="159" t="s">
        <v>13</v>
      </c>
      <c r="H13" s="159"/>
      <c r="I13" s="25"/>
    </row>
    <row r="14" spans="2:11" ht="15.75">
      <c r="B14" s="25"/>
      <c r="C14" s="25"/>
      <c r="D14" s="160" t="s">
        <v>105</v>
      </c>
      <c r="E14" s="160" t="s">
        <v>105</v>
      </c>
      <c r="F14" s="160" t="s">
        <v>106</v>
      </c>
      <c r="G14" s="206" t="s">
        <v>107</v>
      </c>
      <c r="H14" s="206"/>
      <c r="I14" s="206"/>
      <c r="J14" s="161" t="s">
        <v>108</v>
      </c>
      <c r="K14" s="23"/>
    </row>
    <row r="15" spans="2:11" ht="15.75">
      <c r="B15" s="25" t="s">
        <v>13</v>
      </c>
      <c r="D15" s="162" t="s">
        <v>106</v>
      </c>
      <c r="E15" s="162" t="s">
        <v>109</v>
      </c>
      <c r="F15" s="162" t="s">
        <v>110</v>
      </c>
      <c r="G15" s="163" t="s">
        <v>111</v>
      </c>
      <c r="H15" s="163" t="s">
        <v>112</v>
      </c>
      <c r="I15" s="163" t="s">
        <v>113</v>
      </c>
      <c r="J15" s="164" t="s">
        <v>114</v>
      </c>
      <c r="K15" s="164" t="s">
        <v>115</v>
      </c>
    </row>
    <row r="16" spans="2:11" ht="15.75">
      <c r="B16" s="25"/>
      <c r="C16" s="25"/>
      <c r="D16" s="166" t="s">
        <v>3</v>
      </c>
      <c r="E16" s="166" t="s">
        <v>3</v>
      </c>
      <c r="F16" s="166" t="s">
        <v>3</v>
      </c>
      <c r="G16" s="166" t="s">
        <v>3</v>
      </c>
      <c r="H16" s="166" t="s">
        <v>3</v>
      </c>
      <c r="I16" s="166" t="s">
        <v>3</v>
      </c>
      <c r="J16" s="166" t="s">
        <v>3</v>
      </c>
      <c r="K16" s="166" t="s">
        <v>3</v>
      </c>
    </row>
    <row r="17" spans="4:9" ht="15.75">
      <c r="D17" s="24"/>
      <c r="E17" s="24"/>
      <c r="F17" s="24"/>
      <c r="G17" s="24"/>
      <c r="H17" s="24"/>
      <c r="I17" s="24"/>
    </row>
    <row r="18" spans="2:11" ht="6" customHeight="1">
      <c r="B18" s="2"/>
      <c r="C18" s="3"/>
      <c r="D18" s="5"/>
      <c r="E18" s="5"/>
      <c r="F18" s="5"/>
      <c r="G18" s="5"/>
      <c r="H18" s="5"/>
      <c r="I18" s="5"/>
      <c r="J18" s="6"/>
      <c r="K18" s="6"/>
    </row>
    <row r="19" spans="2:11" ht="6" customHeight="1">
      <c r="B19" s="2"/>
      <c r="C19" s="3"/>
      <c r="D19" s="1"/>
      <c r="E19" s="1"/>
      <c r="F19" s="1"/>
      <c r="G19" s="1"/>
      <c r="H19" s="1"/>
      <c r="I19" s="1"/>
      <c r="J19" s="32"/>
      <c r="K19" s="32"/>
    </row>
    <row r="20" spans="2:11" ht="18" customHeight="1">
      <c r="B20" s="4" t="s">
        <v>123</v>
      </c>
      <c r="D20" s="1">
        <v>337856</v>
      </c>
      <c r="E20" s="1">
        <v>517077</v>
      </c>
      <c r="F20" s="1">
        <v>17838</v>
      </c>
      <c r="G20" s="1">
        <v>5000</v>
      </c>
      <c r="H20" s="1">
        <v>5442</v>
      </c>
      <c r="I20" s="1">
        <v>2044</v>
      </c>
      <c r="J20" s="7">
        <v>-691358</v>
      </c>
      <c r="K20" s="7">
        <v>193899</v>
      </c>
    </row>
    <row r="21" spans="2:11" ht="15.75">
      <c r="B21" s="4" t="s">
        <v>152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14">
        <f>'P&amp;L'!I44</f>
        <v>-124150</v>
      </c>
      <c r="K21" s="15">
        <f>SUM(D21:J21)</f>
        <v>-124150</v>
      </c>
    </row>
    <row r="22" spans="2:11" ht="6" customHeight="1">
      <c r="B22" s="2"/>
      <c r="C22" s="3"/>
      <c r="D22" s="5"/>
      <c r="E22" s="5"/>
      <c r="F22" s="5"/>
      <c r="G22" s="5"/>
      <c r="H22" s="5"/>
      <c r="I22" s="5"/>
      <c r="J22" s="6"/>
      <c r="K22" s="1"/>
    </row>
    <row r="23" spans="2:11" ht="15.75">
      <c r="B23" s="2" t="s">
        <v>150</v>
      </c>
      <c r="C23" s="3"/>
      <c r="D23" s="1">
        <f aca="true" t="shared" si="0" ref="D23:K23">SUM(D20:D21)</f>
        <v>337856</v>
      </c>
      <c r="E23" s="1">
        <f t="shared" si="0"/>
        <v>517077</v>
      </c>
      <c r="F23" s="1">
        <f t="shared" si="0"/>
        <v>17838</v>
      </c>
      <c r="G23" s="1">
        <f t="shared" si="0"/>
        <v>5000</v>
      </c>
      <c r="H23" s="1">
        <f t="shared" si="0"/>
        <v>5442</v>
      </c>
      <c r="I23" s="1">
        <f t="shared" si="0"/>
        <v>2044</v>
      </c>
      <c r="J23" s="7">
        <f t="shared" si="0"/>
        <v>-815508</v>
      </c>
      <c r="K23" s="7">
        <f t="shared" si="0"/>
        <v>69749</v>
      </c>
    </row>
    <row r="24" spans="2:11" ht="6" customHeight="1" thickBot="1">
      <c r="B24" s="2"/>
      <c r="C24" s="3"/>
      <c r="D24" s="27"/>
      <c r="E24" s="27"/>
      <c r="F24" s="27"/>
      <c r="G24" s="27"/>
      <c r="H24" s="27"/>
      <c r="I24" s="27"/>
      <c r="J24" s="28"/>
      <c r="K24" s="28"/>
    </row>
    <row r="25" spans="2:11" ht="6" customHeight="1" thickTop="1">
      <c r="B25" s="2"/>
      <c r="C25" s="3"/>
      <c r="D25" s="29"/>
      <c r="E25" s="29"/>
      <c r="F25" s="29"/>
      <c r="G25" s="29"/>
      <c r="H25" s="29"/>
      <c r="I25" s="29"/>
      <c r="J25" s="30"/>
      <c r="K25" s="30"/>
    </row>
    <row r="26" spans="2:11" ht="15.75" customHeight="1">
      <c r="B26" s="2"/>
      <c r="C26" s="3"/>
      <c r="D26" s="29"/>
      <c r="E26" s="29"/>
      <c r="F26" s="29"/>
      <c r="G26" s="29"/>
      <c r="H26" s="29"/>
      <c r="I26" s="29"/>
      <c r="J26" s="30"/>
      <c r="K26" s="30"/>
    </row>
    <row r="27" spans="2:11" ht="15.75" customHeight="1">
      <c r="B27" s="4" t="s">
        <v>159</v>
      </c>
      <c r="D27" s="1">
        <v>337856</v>
      </c>
      <c r="E27" s="1">
        <v>517077</v>
      </c>
      <c r="F27" s="1">
        <v>17838</v>
      </c>
      <c r="G27" s="1">
        <v>5000</v>
      </c>
      <c r="H27" s="1">
        <v>5442</v>
      </c>
      <c r="I27" s="1">
        <v>2044</v>
      </c>
      <c r="J27" s="7">
        <f>-199426</f>
        <v>-199426</v>
      </c>
      <c r="K27" s="7">
        <f>685831</f>
        <v>685831</v>
      </c>
    </row>
    <row r="28" spans="2:11" ht="15.75" customHeight="1">
      <c r="B28" s="4" t="s">
        <v>152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14">
        <f>-491932</f>
        <v>-491932</v>
      </c>
      <c r="K28" s="15">
        <f>SUM(D28:J28)</f>
        <v>-491932</v>
      </c>
    </row>
    <row r="29" spans="2:11" ht="6" customHeight="1">
      <c r="B29" s="2"/>
      <c r="C29" s="3"/>
      <c r="D29" s="5"/>
      <c r="E29" s="5"/>
      <c r="F29" s="5"/>
      <c r="G29" s="5"/>
      <c r="H29" s="5"/>
      <c r="I29" s="5"/>
      <c r="J29" s="6"/>
      <c r="K29" s="1"/>
    </row>
    <row r="30" spans="2:11" ht="15.75" customHeight="1">
      <c r="B30" s="2" t="s">
        <v>160</v>
      </c>
      <c r="C30" s="3"/>
      <c r="D30" s="1">
        <f aca="true" t="shared" si="1" ref="D30:K30">SUM(D27:D28)</f>
        <v>337856</v>
      </c>
      <c r="E30" s="1">
        <f t="shared" si="1"/>
        <v>517077</v>
      </c>
      <c r="F30" s="1">
        <f t="shared" si="1"/>
        <v>17838</v>
      </c>
      <c r="G30" s="1">
        <f t="shared" si="1"/>
        <v>5000</v>
      </c>
      <c r="H30" s="1">
        <f t="shared" si="1"/>
        <v>5442</v>
      </c>
      <c r="I30" s="1">
        <f t="shared" si="1"/>
        <v>2044</v>
      </c>
      <c r="J30" s="7">
        <f t="shared" si="1"/>
        <v>-691358</v>
      </c>
      <c r="K30" s="7">
        <f t="shared" si="1"/>
        <v>193899</v>
      </c>
    </row>
    <row r="31" spans="2:11" ht="6" customHeight="1" thickBot="1">
      <c r="B31" s="2"/>
      <c r="C31" s="3"/>
      <c r="D31" s="27"/>
      <c r="E31" s="27"/>
      <c r="F31" s="27"/>
      <c r="G31" s="27"/>
      <c r="H31" s="27"/>
      <c r="I31" s="27"/>
      <c r="J31" s="28"/>
      <c r="K31" s="28"/>
    </row>
    <row r="32" spans="2:11" ht="6" customHeight="1" thickTop="1">
      <c r="B32" s="2"/>
      <c r="C32" s="3"/>
      <c r="D32" s="29"/>
      <c r="E32" s="29"/>
      <c r="F32" s="29"/>
      <c r="G32" s="29"/>
      <c r="H32" s="29"/>
      <c r="I32" s="29"/>
      <c r="J32" s="30"/>
      <c r="K32" s="30"/>
    </row>
    <row r="33" spans="2:11" ht="15.75" customHeight="1">
      <c r="B33" s="2"/>
      <c r="C33" s="3"/>
      <c r="D33" s="29"/>
      <c r="E33" s="29"/>
      <c r="F33" s="29"/>
      <c r="G33" s="29"/>
      <c r="H33" s="29"/>
      <c r="I33" s="29"/>
      <c r="J33" s="30"/>
      <c r="K33" s="30"/>
    </row>
    <row r="34" spans="2:11" ht="15.75" customHeight="1">
      <c r="B34" s="2"/>
      <c r="C34" s="3"/>
      <c r="D34" s="29"/>
      <c r="E34" s="29"/>
      <c r="F34" s="29"/>
      <c r="G34" s="29"/>
      <c r="H34" s="29"/>
      <c r="I34" s="29"/>
      <c r="J34" s="30"/>
      <c r="K34" s="30"/>
    </row>
    <row r="35" spans="2:11" ht="15.75" customHeight="1">
      <c r="B35" s="2"/>
      <c r="C35" s="3"/>
      <c r="D35" s="29"/>
      <c r="E35" s="29"/>
      <c r="F35" s="29"/>
      <c r="G35" s="29"/>
      <c r="H35" s="29"/>
      <c r="I35" s="29"/>
      <c r="J35" s="30"/>
      <c r="K35" s="30"/>
    </row>
    <row r="36" spans="2:9" s="30" customFormat="1" ht="15.75" customHeight="1">
      <c r="B36" s="167" t="s">
        <v>165</v>
      </c>
      <c r="C36" s="167"/>
      <c r="D36" s="167"/>
      <c r="E36" s="167"/>
      <c r="F36" s="168"/>
      <c r="G36" s="168"/>
      <c r="H36" s="168"/>
      <c r="I36" s="168"/>
    </row>
    <row r="37" spans="2:11" ht="15.75" customHeight="1">
      <c r="B37" s="21" t="s">
        <v>164</v>
      </c>
      <c r="C37" s="3"/>
      <c r="D37" s="29"/>
      <c r="E37" s="29"/>
      <c r="F37" s="29"/>
      <c r="G37" s="29"/>
      <c r="H37" s="29"/>
      <c r="I37" s="29"/>
      <c r="J37" s="30"/>
      <c r="K37" s="30"/>
    </row>
  </sheetData>
  <mergeCells count="4">
    <mergeCell ref="E10:I10"/>
    <mergeCell ref="G14:I14"/>
    <mergeCell ref="G11:I11"/>
    <mergeCell ref="G12:I12"/>
  </mergeCells>
  <printOptions/>
  <pageMargins left="0.5" right="0.25" top="0.75" bottom="0.25" header="0.5" footer="0.25"/>
  <pageSetup firstPageNumber="13" useFirstPageNumber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mbsb</dc:creator>
  <cp:keywords/>
  <dc:description/>
  <cp:lastModifiedBy>IRENE LOO</cp:lastModifiedBy>
  <cp:lastPrinted>2003-02-28T02:12:14Z</cp:lastPrinted>
  <dcterms:created xsi:type="dcterms:W3CDTF">2002-11-07T14:42:14Z</dcterms:created>
  <dcterms:modified xsi:type="dcterms:W3CDTF">2003-02-23T16:31:26Z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